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38280" yWindow="-120" windowWidth="29040" windowHeight="15840" firstSheet="6" activeTab="6"/>
  </bookViews>
  <sheets>
    <sheet name="Not used" sheetId="1" state="hidden" r:id="rId1"/>
    <sheet name="Graphs" sheetId="21" state="hidden" r:id="rId2"/>
    <sheet name="ProForma View 80CL" sheetId="18" state="hidden" r:id="rId3"/>
    <sheet name="Pro Forma Worst Case" sheetId="19" state="hidden" r:id="rId4"/>
    <sheet name="Pro Forma Best Case" sheetId="20" state="hidden" r:id="rId5"/>
    <sheet name="Price of Water" sheetId="22" r:id="rId6"/>
    <sheet name="Cost Offsets" sheetId="28" r:id="rId7"/>
    <sheet name="Fallowing" sheetId="23" state="hidden" r:id="rId8"/>
    <sheet name="Construction Costs" sheetId="13" state="hidden" r:id="rId9"/>
    <sheet name="Cost Schedule" sheetId="14" state="hidden" r:id="rId10"/>
    <sheet name="LineOfCredit" sheetId="15" state="hidden" r:id="rId11"/>
    <sheet name="CPI" sheetId="4" state="hidden" r:id="rId12"/>
    <sheet name="Construction Bonds" sheetId="16" state="hidden" r:id="rId13"/>
    <sheet name="Prop 1 Funding" sheetId="2" state="hidden" r:id="rId14"/>
    <sheet name="USDA Low Interest Loan" sheetId="12" state="hidden" r:id="rId15"/>
    <sheet name="WIIN Act Funding" sheetId="10" state="hidden" r:id="rId16"/>
    <sheet name="Risk Assessment Cost Estimate" sheetId="9" state="hidden" r:id="rId17"/>
    <sheet name="Transmission Cost Estimate" sheetId="5" state="hidden" r:id="rId18"/>
    <sheet name="WaterQualMitigationMonitoring" sheetId="17" state="hidden" r:id="rId19"/>
    <sheet name="O&amp;M Cost Estimate" sheetId="6" state="hidden" r:id="rId20"/>
    <sheet name="Delivery Costs" sheetId="25" state="hidden" r:id="rId21"/>
    <sheet name="Montague Model" sheetId="24" state="hidden" r:id="rId22"/>
    <sheet name="CDFW Negotiation Affordability" sheetId="27" state="hidden" r:id="rId23"/>
    <sheet name="Ph1 to 2019 Credit" sheetId="26" state="hidden" r:id="rId24"/>
    <sheet name="Studies" sheetId="7" state="hidden" r:id="rId25"/>
    <sheet name="Mega Project Factors" sheetId="8" state="hidden" r:id="rId26"/>
    <sheet name="Diversion-Bypass Flows" sheetId="11" state="hidden" r:id="rId27"/>
  </sheets>
  <definedNames>
    <definedName name="_xlnm.Print_Area" localSheetId="22">'CDFW Negotiation Affordability'!$A$8:$N$45</definedName>
    <definedName name="_xlnm.Print_Area" localSheetId="9">'Cost Schedule'!$A$1:$DK$37</definedName>
    <definedName name="_xlnm.Print_Area" localSheetId="0">'Not used'!$A$1:$P$35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28" l="1"/>
  <c r="Q32" i="28" l="1"/>
  <c r="N17" i="28"/>
  <c r="L18" i="28" l="1"/>
  <c r="I18" i="28" l="1"/>
  <c r="I20" i="28"/>
  <c r="D18" i="28"/>
  <c r="H18" i="28"/>
  <c r="I17" i="28"/>
  <c r="K26" i="28"/>
  <c r="K25" i="28"/>
  <c r="K24" i="28"/>
  <c r="K23" i="28"/>
  <c r="K22" i="28"/>
  <c r="K21" i="28"/>
  <c r="K20" i="28"/>
  <c r="K19" i="28"/>
  <c r="K18" i="28"/>
  <c r="K17" i="28"/>
  <c r="F17" i="28"/>
  <c r="L23" i="28" l="1"/>
  <c r="L24" i="28"/>
  <c r="C22" i="22"/>
  <c r="D24" i="28"/>
  <c r="M24" i="28" s="1"/>
  <c r="N24" i="28" s="1"/>
  <c r="D19" i="28"/>
  <c r="B9" i="28"/>
  <c r="R18" i="28"/>
  <c r="R19" i="28"/>
  <c r="R20" i="28"/>
  <c r="R21" i="28"/>
  <c r="R22" i="28"/>
  <c r="R23" i="28"/>
  <c r="R24" i="28"/>
  <c r="R25" i="28"/>
  <c r="R26" i="28"/>
  <c r="R17" i="28"/>
  <c r="Q18" i="28"/>
  <c r="Q19" i="28"/>
  <c r="Q20" i="28"/>
  <c r="Q21" i="28"/>
  <c r="Q22" i="28"/>
  <c r="Q23" i="28"/>
  <c r="Q24" i="28"/>
  <c r="Q25" i="28"/>
  <c r="Q26" i="28"/>
  <c r="Q17" i="28"/>
  <c r="O18" i="28"/>
  <c r="O20" i="28"/>
  <c r="O22" i="28"/>
  <c r="O25" i="28"/>
  <c r="O26" i="28"/>
  <c r="M18" i="28"/>
  <c r="N18" i="28" s="1"/>
  <c r="M20" i="28"/>
  <c r="N20" i="28" s="1"/>
  <c r="M21" i="28"/>
  <c r="N21" i="28" s="1"/>
  <c r="M22" i="28"/>
  <c r="N22" i="28" s="1"/>
  <c r="M23" i="28"/>
  <c r="N23" i="28" s="1"/>
  <c r="M25" i="28"/>
  <c r="N25" i="28" s="1"/>
  <c r="M26" i="28"/>
  <c r="N26" i="28" s="1"/>
  <c r="M17" i="28"/>
  <c r="J26" i="28"/>
  <c r="M19" i="28"/>
  <c r="N19" i="28" s="1"/>
  <c r="L20" i="28"/>
  <c r="L21" i="28"/>
  <c r="L22" i="28"/>
  <c r="L25" i="28"/>
  <c r="L26" i="28"/>
  <c r="L17" i="28"/>
  <c r="B18" i="28"/>
  <c r="B19" i="28"/>
  <c r="B20" i="28"/>
  <c r="B21" i="28"/>
  <c r="B22" i="28"/>
  <c r="B23" i="28"/>
  <c r="B24" i="28"/>
  <c r="B25" i="28"/>
  <c r="B26" i="28"/>
  <c r="B17" i="28"/>
  <c r="D22" i="28"/>
  <c r="J22" i="28"/>
  <c r="H26" i="28"/>
  <c r="G26" i="28"/>
  <c r="F26" i="28"/>
  <c r="H25" i="28"/>
  <c r="G25" i="28"/>
  <c r="F25" i="28"/>
  <c r="J24" i="28"/>
  <c r="H24" i="28"/>
  <c r="G24" i="28"/>
  <c r="F24" i="28"/>
  <c r="J23" i="28"/>
  <c r="H23" i="28"/>
  <c r="G23" i="28"/>
  <c r="F23" i="28"/>
  <c r="H22" i="28"/>
  <c r="G22" i="28"/>
  <c r="F22" i="28"/>
  <c r="F21" i="28"/>
  <c r="J21" i="28"/>
  <c r="H21" i="28"/>
  <c r="G21" i="28"/>
  <c r="J20" i="28"/>
  <c r="H20" i="28"/>
  <c r="G20" i="28"/>
  <c r="H19" i="28"/>
  <c r="F20" i="28"/>
  <c r="G19" i="28"/>
  <c r="J19" i="28"/>
  <c r="F19" i="28"/>
  <c r="J18" i="28"/>
  <c r="G18" i="28"/>
  <c r="F18" i="28"/>
  <c r="E18" i="28"/>
  <c r="E19" i="28" s="1"/>
  <c r="J17" i="28"/>
  <c r="E17" i="28"/>
  <c r="D26" i="28"/>
  <c r="D25" i="28"/>
  <c r="D21" i="28"/>
  <c r="D20" i="28"/>
  <c r="D17" i="28"/>
  <c r="A2" i="28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31" i="22"/>
  <c r="M35" i="22"/>
  <c r="M36" i="22"/>
  <c r="M34" i="22"/>
  <c r="M39" i="22"/>
  <c r="M38" i="22"/>
  <c r="M37" i="22"/>
  <c r="G72" i="22"/>
  <c r="G73" i="22"/>
  <c r="G74" i="22"/>
  <c r="G75" i="22"/>
  <c r="G76" i="22"/>
  <c r="G77" i="22"/>
  <c r="G78" i="22"/>
  <c r="G79" i="22"/>
  <c r="G80" i="22"/>
  <c r="G81" i="22"/>
  <c r="G71" i="22"/>
  <c r="G62" i="22"/>
  <c r="G63" i="22"/>
  <c r="G64" i="22"/>
  <c r="G65" i="22"/>
  <c r="G66" i="22"/>
  <c r="G67" i="22"/>
  <c r="G68" i="22"/>
  <c r="G69" i="22"/>
  <c r="G70" i="22"/>
  <c r="G61" i="22"/>
  <c r="D22" i="22"/>
  <c r="C21" i="22"/>
  <c r="B21" i="22"/>
  <c r="N32" i="28" l="1"/>
  <c r="O23" i="28"/>
  <c r="O21" i="28"/>
  <c r="O17" i="28"/>
  <c r="O24" i="28"/>
  <c r="O19" i="28"/>
  <c r="O30" i="28" s="1"/>
  <c r="I19" i="28"/>
  <c r="E20" i="28" s="1"/>
  <c r="E21" i="28" s="1"/>
  <c r="I21" i="28" s="1"/>
  <c r="E22" i="28" s="1"/>
  <c r="I22" i="28" s="1"/>
  <c r="E23" i="28" s="1"/>
  <c r="I23" i="28" s="1"/>
  <c r="E24" i="28" s="1"/>
  <c r="I24" i="28" s="1"/>
  <c r="E25" i="28" s="1"/>
  <c r="I25" i="28" s="1"/>
  <c r="E26" i="28" s="1"/>
  <c r="I26" i="28" s="1"/>
  <c r="O10" i="27"/>
  <c r="O28" i="27" s="1"/>
  <c r="P10" i="27"/>
  <c r="P28" i="27" s="1"/>
  <c r="Q10" i="27"/>
  <c r="Q28" i="27" s="1"/>
  <c r="R10" i="27"/>
  <c r="R28" i="27" s="1"/>
  <c r="S10" i="27"/>
  <c r="S28" i="27" s="1"/>
  <c r="T10" i="27"/>
  <c r="T28" i="27" s="1"/>
  <c r="U10" i="27"/>
  <c r="U28" i="27" s="1"/>
  <c r="V10" i="27"/>
  <c r="V28" i="27" s="1"/>
  <c r="W10" i="27"/>
  <c r="W28" i="27" s="1"/>
  <c r="X10" i="27"/>
  <c r="X28" i="27" s="1"/>
  <c r="Y10" i="27"/>
  <c r="Y28" i="27" s="1"/>
  <c r="Z10" i="27"/>
  <c r="Z28" i="27" s="1"/>
  <c r="AA10" i="27"/>
  <c r="AA28" i="27" s="1"/>
  <c r="AB10" i="27"/>
  <c r="AB28" i="27" s="1"/>
  <c r="AC10" i="27"/>
  <c r="AC28" i="27" s="1"/>
  <c r="AD10" i="27"/>
  <c r="AD28" i="27" s="1"/>
  <c r="AE10" i="27"/>
  <c r="AE28" i="27" s="1"/>
  <c r="AF10" i="27"/>
  <c r="AF28" i="27" s="1"/>
  <c r="AG10" i="27"/>
  <c r="AG28" i="27" s="1"/>
  <c r="AH10" i="27"/>
  <c r="AH28" i="27" s="1"/>
  <c r="AI10" i="27"/>
  <c r="AI28" i="27" s="1"/>
  <c r="AJ10" i="27"/>
  <c r="AJ28" i="27" s="1"/>
  <c r="AK10" i="27"/>
  <c r="AK28" i="27" s="1"/>
  <c r="AL10" i="27"/>
  <c r="AL28" i="27" s="1"/>
  <c r="O11" i="27"/>
  <c r="O29" i="27" s="1"/>
  <c r="P11" i="27"/>
  <c r="P29" i="27" s="1"/>
  <c r="Q11" i="27"/>
  <c r="Q29" i="27" s="1"/>
  <c r="R11" i="27"/>
  <c r="R29" i="27" s="1"/>
  <c r="S11" i="27"/>
  <c r="S29" i="27" s="1"/>
  <c r="T11" i="27"/>
  <c r="T29" i="27" s="1"/>
  <c r="U11" i="27"/>
  <c r="U29" i="27" s="1"/>
  <c r="V11" i="27"/>
  <c r="V29" i="27" s="1"/>
  <c r="W11" i="27"/>
  <c r="W29" i="27" s="1"/>
  <c r="X11" i="27"/>
  <c r="X29" i="27" s="1"/>
  <c r="Y11" i="27"/>
  <c r="Y29" i="27" s="1"/>
  <c r="Z11" i="27"/>
  <c r="Z29" i="27" s="1"/>
  <c r="AA11" i="27"/>
  <c r="AA29" i="27" s="1"/>
  <c r="AB11" i="27"/>
  <c r="AB29" i="27" s="1"/>
  <c r="AC11" i="27"/>
  <c r="AC29" i="27" s="1"/>
  <c r="AD11" i="27"/>
  <c r="AD29" i="27" s="1"/>
  <c r="AE11" i="27"/>
  <c r="AE29" i="27" s="1"/>
  <c r="AF11" i="27"/>
  <c r="AF29" i="27" s="1"/>
  <c r="AG11" i="27"/>
  <c r="AG29" i="27" s="1"/>
  <c r="AH11" i="27"/>
  <c r="AH29" i="27" s="1"/>
  <c r="AI11" i="27"/>
  <c r="AI29" i="27" s="1"/>
  <c r="AJ11" i="27"/>
  <c r="AJ29" i="27" s="1"/>
  <c r="AK11" i="27"/>
  <c r="AK29" i="27" s="1"/>
  <c r="AL11" i="27"/>
  <c r="AL29" i="27" s="1"/>
  <c r="O12" i="27"/>
  <c r="O30" i="27" s="1"/>
  <c r="P12" i="27"/>
  <c r="P30" i="27" s="1"/>
  <c r="Q12" i="27"/>
  <c r="Q30" i="27" s="1"/>
  <c r="R12" i="27"/>
  <c r="R30" i="27" s="1"/>
  <c r="S12" i="27"/>
  <c r="S30" i="27" s="1"/>
  <c r="T12" i="27"/>
  <c r="T30" i="27" s="1"/>
  <c r="U12" i="27"/>
  <c r="U30" i="27" s="1"/>
  <c r="V12" i="27"/>
  <c r="V30" i="27" s="1"/>
  <c r="W12" i="27"/>
  <c r="W30" i="27" s="1"/>
  <c r="X12" i="27"/>
  <c r="X30" i="27" s="1"/>
  <c r="Y12" i="27"/>
  <c r="Y30" i="27" s="1"/>
  <c r="Z12" i="27"/>
  <c r="Z30" i="27" s="1"/>
  <c r="AA12" i="27"/>
  <c r="AA30" i="27" s="1"/>
  <c r="AB12" i="27"/>
  <c r="AB30" i="27" s="1"/>
  <c r="AC12" i="27"/>
  <c r="AC30" i="27" s="1"/>
  <c r="AD12" i="27"/>
  <c r="AD30" i="27" s="1"/>
  <c r="AE12" i="27"/>
  <c r="AE30" i="27" s="1"/>
  <c r="AF12" i="27"/>
  <c r="AF30" i="27" s="1"/>
  <c r="AG12" i="27"/>
  <c r="AG30" i="27" s="1"/>
  <c r="AH12" i="27"/>
  <c r="AH30" i="27" s="1"/>
  <c r="AI12" i="27"/>
  <c r="AI30" i="27" s="1"/>
  <c r="AJ12" i="27"/>
  <c r="AJ30" i="27" s="1"/>
  <c r="AK12" i="27"/>
  <c r="AK30" i="27" s="1"/>
  <c r="AL12" i="27"/>
  <c r="AL30" i="27" s="1"/>
  <c r="O13" i="27"/>
  <c r="O31" i="27" s="1"/>
  <c r="P13" i="27"/>
  <c r="P31" i="27" s="1"/>
  <c r="Q13" i="27"/>
  <c r="Q31" i="27" s="1"/>
  <c r="R13" i="27"/>
  <c r="R31" i="27" s="1"/>
  <c r="S13" i="27"/>
  <c r="S31" i="27" s="1"/>
  <c r="T13" i="27"/>
  <c r="T31" i="27" s="1"/>
  <c r="U13" i="27"/>
  <c r="U31" i="27" s="1"/>
  <c r="V13" i="27"/>
  <c r="V31" i="27" s="1"/>
  <c r="W13" i="27"/>
  <c r="W31" i="27" s="1"/>
  <c r="X13" i="27"/>
  <c r="X31" i="27" s="1"/>
  <c r="Y13" i="27"/>
  <c r="Y31" i="27" s="1"/>
  <c r="Z13" i="27"/>
  <c r="Z31" i="27" s="1"/>
  <c r="AA13" i="27"/>
  <c r="AA31" i="27" s="1"/>
  <c r="AB13" i="27"/>
  <c r="AB31" i="27" s="1"/>
  <c r="AC13" i="27"/>
  <c r="AC31" i="27" s="1"/>
  <c r="AD13" i="27"/>
  <c r="AD31" i="27" s="1"/>
  <c r="AE13" i="27"/>
  <c r="AE31" i="27" s="1"/>
  <c r="AF13" i="27"/>
  <c r="AF31" i="27" s="1"/>
  <c r="AG13" i="27"/>
  <c r="AG31" i="27" s="1"/>
  <c r="AH13" i="27"/>
  <c r="AH31" i="27" s="1"/>
  <c r="AI13" i="27"/>
  <c r="AI31" i="27" s="1"/>
  <c r="AJ13" i="27"/>
  <c r="AJ31" i="27" s="1"/>
  <c r="AK13" i="27"/>
  <c r="AK31" i="27" s="1"/>
  <c r="AL13" i="27"/>
  <c r="AL31" i="27" s="1"/>
  <c r="O14" i="27"/>
  <c r="O32" i="27" s="1"/>
  <c r="P14" i="27"/>
  <c r="P32" i="27" s="1"/>
  <c r="Q14" i="27"/>
  <c r="Q32" i="27" s="1"/>
  <c r="R14" i="27"/>
  <c r="R32" i="27" s="1"/>
  <c r="S14" i="27"/>
  <c r="S32" i="27" s="1"/>
  <c r="T14" i="27"/>
  <c r="T32" i="27" s="1"/>
  <c r="U14" i="27"/>
  <c r="U32" i="27" s="1"/>
  <c r="V14" i="27"/>
  <c r="V32" i="27" s="1"/>
  <c r="W14" i="27"/>
  <c r="W32" i="27" s="1"/>
  <c r="X14" i="27"/>
  <c r="X32" i="27" s="1"/>
  <c r="Y14" i="27"/>
  <c r="Y32" i="27" s="1"/>
  <c r="Z14" i="27"/>
  <c r="Z32" i="27" s="1"/>
  <c r="AA14" i="27"/>
  <c r="AA32" i="27" s="1"/>
  <c r="AB14" i="27"/>
  <c r="AB32" i="27" s="1"/>
  <c r="AC14" i="27"/>
  <c r="AC32" i="27" s="1"/>
  <c r="AD14" i="27"/>
  <c r="AD32" i="27" s="1"/>
  <c r="AE14" i="27"/>
  <c r="AE32" i="27" s="1"/>
  <c r="AF14" i="27"/>
  <c r="AF32" i="27" s="1"/>
  <c r="AG14" i="27"/>
  <c r="AG32" i="27" s="1"/>
  <c r="AH14" i="27"/>
  <c r="AH32" i="27" s="1"/>
  <c r="AI14" i="27"/>
  <c r="AI32" i="27" s="1"/>
  <c r="AJ14" i="27"/>
  <c r="AJ32" i="27" s="1"/>
  <c r="AK14" i="27"/>
  <c r="AK32" i="27" s="1"/>
  <c r="AL14" i="27"/>
  <c r="AL32" i="27" s="1"/>
  <c r="O15" i="27"/>
  <c r="O33" i="27" s="1"/>
  <c r="P15" i="27"/>
  <c r="P33" i="27" s="1"/>
  <c r="Q15" i="27"/>
  <c r="Q33" i="27" s="1"/>
  <c r="R15" i="27"/>
  <c r="R33" i="27" s="1"/>
  <c r="S15" i="27"/>
  <c r="S33" i="27" s="1"/>
  <c r="T15" i="27"/>
  <c r="T33" i="27" s="1"/>
  <c r="U15" i="27"/>
  <c r="U33" i="27" s="1"/>
  <c r="V15" i="27"/>
  <c r="V33" i="27" s="1"/>
  <c r="W15" i="27"/>
  <c r="W33" i="27" s="1"/>
  <c r="X15" i="27"/>
  <c r="X33" i="27" s="1"/>
  <c r="Y15" i="27"/>
  <c r="Y33" i="27" s="1"/>
  <c r="Z15" i="27"/>
  <c r="Z33" i="27" s="1"/>
  <c r="AA15" i="27"/>
  <c r="AA33" i="27" s="1"/>
  <c r="AB15" i="27"/>
  <c r="AB33" i="27" s="1"/>
  <c r="AC15" i="27"/>
  <c r="AC33" i="27" s="1"/>
  <c r="AD15" i="27"/>
  <c r="AD33" i="27" s="1"/>
  <c r="AE15" i="27"/>
  <c r="AE33" i="27" s="1"/>
  <c r="AF15" i="27"/>
  <c r="AF33" i="27" s="1"/>
  <c r="AG15" i="27"/>
  <c r="AG33" i="27" s="1"/>
  <c r="AH15" i="27"/>
  <c r="AH33" i="27" s="1"/>
  <c r="AI15" i="27"/>
  <c r="AI33" i="27" s="1"/>
  <c r="AJ15" i="27"/>
  <c r="AJ33" i="27" s="1"/>
  <c r="AK15" i="27"/>
  <c r="AK33" i="27" s="1"/>
  <c r="AL15" i="27"/>
  <c r="AL33" i="27" s="1"/>
  <c r="O16" i="27"/>
  <c r="O34" i="27" s="1"/>
  <c r="P16" i="27"/>
  <c r="P34" i="27" s="1"/>
  <c r="Q16" i="27"/>
  <c r="Q34" i="27" s="1"/>
  <c r="R16" i="27"/>
  <c r="R34" i="27" s="1"/>
  <c r="S16" i="27"/>
  <c r="S34" i="27" s="1"/>
  <c r="T16" i="27"/>
  <c r="T34" i="27" s="1"/>
  <c r="U16" i="27"/>
  <c r="U34" i="27" s="1"/>
  <c r="V16" i="27"/>
  <c r="V34" i="27" s="1"/>
  <c r="W16" i="27"/>
  <c r="W34" i="27" s="1"/>
  <c r="X16" i="27"/>
  <c r="X34" i="27" s="1"/>
  <c r="Y16" i="27"/>
  <c r="Y34" i="27" s="1"/>
  <c r="Z16" i="27"/>
  <c r="Z34" i="27" s="1"/>
  <c r="AA16" i="27"/>
  <c r="AA34" i="27" s="1"/>
  <c r="AB16" i="27"/>
  <c r="AB34" i="27" s="1"/>
  <c r="AC16" i="27"/>
  <c r="AC34" i="27" s="1"/>
  <c r="AD16" i="27"/>
  <c r="AD34" i="27" s="1"/>
  <c r="AE16" i="27"/>
  <c r="AE34" i="27" s="1"/>
  <c r="AF16" i="27"/>
  <c r="AF34" i="27" s="1"/>
  <c r="AG16" i="27"/>
  <c r="AG34" i="27" s="1"/>
  <c r="AH16" i="27"/>
  <c r="AH34" i="27" s="1"/>
  <c r="AI16" i="27"/>
  <c r="AI34" i="27" s="1"/>
  <c r="AJ16" i="27"/>
  <c r="AJ34" i="27" s="1"/>
  <c r="AK16" i="27"/>
  <c r="AK34" i="27" s="1"/>
  <c r="AL16" i="27"/>
  <c r="AL34" i="27" s="1"/>
  <c r="O17" i="27"/>
  <c r="O35" i="27" s="1"/>
  <c r="P17" i="27"/>
  <c r="P35" i="27" s="1"/>
  <c r="Q17" i="27"/>
  <c r="Q35" i="27" s="1"/>
  <c r="R17" i="27"/>
  <c r="R35" i="27" s="1"/>
  <c r="S17" i="27"/>
  <c r="S35" i="27" s="1"/>
  <c r="T17" i="27"/>
  <c r="T35" i="27" s="1"/>
  <c r="U17" i="27"/>
  <c r="U35" i="27" s="1"/>
  <c r="V17" i="27"/>
  <c r="V35" i="27" s="1"/>
  <c r="W17" i="27"/>
  <c r="W35" i="27" s="1"/>
  <c r="X17" i="27"/>
  <c r="X35" i="27" s="1"/>
  <c r="Y17" i="27"/>
  <c r="Y35" i="27" s="1"/>
  <c r="Z17" i="27"/>
  <c r="Z35" i="27" s="1"/>
  <c r="AA17" i="27"/>
  <c r="AA35" i="27" s="1"/>
  <c r="AB17" i="27"/>
  <c r="AB35" i="27" s="1"/>
  <c r="AC17" i="27"/>
  <c r="AC35" i="27" s="1"/>
  <c r="AD17" i="27"/>
  <c r="AD35" i="27" s="1"/>
  <c r="AE17" i="27"/>
  <c r="AE35" i="27" s="1"/>
  <c r="AF17" i="27"/>
  <c r="AF35" i="27" s="1"/>
  <c r="AG17" i="27"/>
  <c r="AG35" i="27" s="1"/>
  <c r="AH17" i="27"/>
  <c r="AH35" i="27" s="1"/>
  <c r="AI17" i="27"/>
  <c r="AI35" i="27" s="1"/>
  <c r="AJ17" i="27"/>
  <c r="AJ35" i="27" s="1"/>
  <c r="AK17" i="27"/>
  <c r="AK35" i="27" s="1"/>
  <c r="AL17" i="27"/>
  <c r="AL35" i="27" s="1"/>
  <c r="O18" i="27"/>
  <c r="O36" i="27" s="1"/>
  <c r="P18" i="27"/>
  <c r="P36" i="27" s="1"/>
  <c r="Q18" i="27"/>
  <c r="Q36" i="27" s="1"/>
  <c r="R18" i="27"/>
  <c r="R36" i="27" s="1"/>
  <c r="S18" i="27"/>
  <c r="S36" i="27" s="1"/>
  <c r="T18" i="27"/>
  <c r="T36" i="27" s="1"/>
  <c r="U18" i="27"/>
  <c r="U36" i="27" s="1"/>
  <c r="V18" i="27"/>
  <c r="V36" i="27" s="1"/>
  <c r="W18" i="27"/>
  <c r="W36" i="27" s="1"/>
  <c r="X18" i="27"/>
  <c r="X36" i="27" s="1"/>
  <c r="Y18" i="27"/>
  <c r="Y36" i="27" s="1"/>
  <c r="Z18" i="27"/>
  <c r="Z36" i="27" s="1"/>
  <c r="AA18" i="27"/>
  <c r="AA36" i="27" s="1"/>
  <c r="AB18" i="27"/>
  <c r="AB36" i="27" s="1"/>
  <c r="AC18" i="27"/>
  <c r="AC36" i="27" s="1"/>
  <c r="AD18" i="27"/>
  <c r="AD36" i="27" s="1"/>
  <c r="AE18" i="27"/>
  <c r="AE36" i="27" s="1"/>
  <c r="AF18" i="27"/>
  <c r="AF36" i="27" s="1"/>
  <c r="AG18" i="27"/>
  <c r="AG36" i="27" s="1"/>
  <c r="AH18" i="27"/>
  <c r="AH36" i="27" s="1"/>
  <c r="AI18" i="27"/>
  <c r="AI36" i="27" s="1"/>
  <c r="AJ18" i="27"/>
  <c r="AJ36" i="27" s="1"/>
  <c r="AK18" i="27"/>
  <c r="AK36" i="27" s="1"/>
  <c r="AL18" i="27"/>
  <c r="AL36" i="27" s="1"/>
  <c r="O19" i="27"/>
  <c r="O37" i="27" s="1"/>
  <c r="P19" i="27"/>
  <c r="P37" i="27" s="1"/>
  <c r="Q19" i="27"/>
  <c r="Q37" i="27" s="1"/>
  <c r="R19" i="27"/>
  <c r="R37" i="27" s="1"/>
  <c r="S19" i="27"/>
  <c r="S37" i="27" s="1"/>
  <c r="T19" i="27"/>
  <c r="T37" i="27" s="1"/>
  <c r="U19" i="27"/>
  <c r="U37" i="27" s="1"/>
  <c r="V19" i="27"/>
  <c r="V37" i="27" s="1"/>
  <c r="W19" i="27"/>
  <c r="W37" i="27" s="1"/>
  <c r="X19" i="27"/>
  <c r="X37" i="27" s="1"/>
  <c r="Y19" i="27"/>
  <c r="Y37" i="27" s="1"/>
  <c r="Z19" i="27"/>
  <c r="Z37" i="27" s="1"/>
  <c r="AA19" i="27"/>
  <c r="AA37" i="27" s="1"/>
  <c r="AB19" i="27"/>
  <c r="AB37" i="27" s="1"/>
  <c r="AC19" i="27"/>
  <c r="AC37" i="27" s="1"/>
  <c r="AD19" i="27"/>
  <c r="AD37" i="27" s="1"/>
  <c r="AE19" i="27"/>
  <c r="AE37" i="27" s="1"/>
  <c r="AF19" i="27"/>
  <c r="AF37" i="27" s="1"/>
  <c r="AG19" i="27"/>
  <c r="AG37" i="27" s="1"/>
  <c r="AH19" i="27"/>
  <c r="AH37" i="27" s="1"/>
  <c r="AI19" i="27"/>
  <c r="AI37" i="27" s="1"/>
  <c r="AJ19" i="27"/>
  <c r="AJ37" i="27" s="1"/>
  <c r="AK19" i="27"/>
  <c r="AK37" i="27" s="1"/>
  <c r="AL19" i="27"/>
  <c r="AL37" i="27" s="1"/>
  <c r="O20" i="27"/>
  <c r="O38" i="27" s="1"/>
  <c r="P20" i="27"/>
  <c r="P38" i="27" s="1"/>
  <c r="Q20" i="27"/>
  <c r="Q38" i="27" s="1"/>
  <c r="R20" i="27"/>
  <c r="R38" i="27" s="1"/>
  <c r="S20" i="27"/>
  <c r="S38" i="27" s="1"/>
  <c r="T20" i="27"/>
  <c r="T38" i="27" s="1"/>
  <c r="U20" i="27"/>
  <c r="U38" i="27" s="1"/>
  <c r="V20" i="27"/>
  <c r="V38" i="27" s="1"/>
  <c r="W20" i="27"/>
  <c r="W38" i="27" s="1"/>
  <c r="X20" i="27"/>
  <c r="X38" i="27" s="1"/>
  <c r="Y20" i="27"/>
  <c r="Y38" i="27" s="1"/>
  <c r="Z20" i="27"/>
  <c r="Z38" i="27" s="1"/>
  <c r="AA20" i="27"/>
  <c r="AA38" i="27" s="1"/>
  <c r="AB20" i="27"/>
  <c r="AB38" i="27" s="1"/>
  <c r="AC20" i="27"/>
  <c r="AC38" i="27" s="1"/>
  <c r="AD20" i="27"/>
  <c r="AD38" i="27" s="1"/>
  <c r="AE20" i="27"/>
  <c r="AE38" i="27" s="1"/>
  <c r="AF20" i="27"/>
  <c r="AF38" i="27" s="1"/>
  <c r="AG20" i="27"/>
  <c r="AG38" i="27" s="1"/>
  <c r="AH20" i="27"/>
  <c r="AH38" i="27" s="1"/>
  <c r="AI20" i="27"/>
  <c r="AI38" i="27" s="1"/>
  <c r="AJ20" i="27"/>
  <c r="AJ38" i="27" s="1"/>
  <c r="AK20" i="27"/>
  <c r="AK38" i="27" s="1"/>
  <c r="AL20" i="27"/>
  <c r="AL38" i="27" s="1"/>
  <c r="O21" i="27"/>
  <c r="O39" i="27" s="1"/>
  <c r="P21" i="27"/>
  <c r="P39" i="27" s="1"/>
  <c r="Q21" i="27"/>
  <c r="Q39" i="27" s="1"/>
  <c r="R21" i="27"/>
  <c r="R39" i="27" s="1"/>
  <c r="S21" i="27"/>
  <c r="S39" i="27" s="1"/>
  <c r="T21" i="27"/>
  <c r="T39" i="27" s="1"/>
  <c r="U21" i="27"/>
  <c r="U39" i="27" s="1"/>
  <c r="V21" i="27"/>
  <c r="V39" i="27" s="1"/>
  <c r="W21" i="27"/>
  <c r="W39" i="27" s="1"/>
  <c r="X21" i="27"/>
  <c r="X39" i="27" s="1"/>
  <c r="Y21" i="27"/>
  <c r="Y39" i="27" s="1"/>
  <c r="Z21" i="27"/>
  <c r="Z39" i="27" s="1"/>
  <c r="AA21" i="27"/>
  <c r="AA39" i="27" s="1"/>
  <c r="AB21" i="27"/>
  <c r="AB39" i="27" s="1"/>
  <c r="AC21" i="27"/>
  <c r="AC39" i="27" s="1"/>
  <c r="AD21" i="27"/>
  <c r="AD39" i="27" s="1"/>
  <c r="AE21" i="27"/>
  <c r="AE39" i="27" s="1"/>
  <c r="AF21" i="27"/>
  <c r="AF39" i="27" s="1"/>
  <c r="AG21" i="27"/>
  <c r="AG39" i="27" s="1"/>
  <c r="AH21" i="27"/>
  <c r="AH39" i="27" s="1"/>
  <c r="AI21" i="27"/>
  <c r="AI39" i="27" s="1"/>
  <c r="AJ21" i="27"/>
  <c r="AJ39" i="27" s="1"/>
  <c r="AK21" i="27"/>
  <c r="AK39" i="27" s="1"/>
  <c r="AL21" i="27"/>
  <c r="AL39" i="27" s="1"/>
  <c r="O22" i="27"/>
  <c r="O40" i="27" s="1"/>
  <c r="P22" i="27"/>
  <c r="P40" i="27" s="1"/>
  <c r="Q22" i="27"/>
  <c r="Q40" i="27" s="1"/>
  <c r="R22" i="27"/>
  <c r="R40" i="27" s="1"/>
  <c r="S22" i="27"/>
  <c r="S40" i="27" s="1"/>
  <c r="T22" i="27"/>
  <c r="T40" i="27" s="1"/>
  <c r="U22" i="27"/>
  <c r="U40" i="27" s="1"/>
  <c r="V22" i="27"/>
  <c r="V40" i="27" s="1"/>
  <c r="W22" i="27"/>
  <c r="W40" i="27" s="1"/>
  <c r="X22" i="27"/>
  <c r="X40" i="27" s="1"/>
  <c r="Y22" i="27"/>
  <c r="Y40" i="27" s="1"/>
  <c r="Z22" i="27"/>
  <c r="Z40" i="27" s="1"/>
  <c r="AA22" i="27"/>
  <c r="AA40" i="27" s="1"/>
  <c r="AB22" i="27"/>
  <c r="AB40" i="27" s="1"/>
  <c r="AC22" i="27"/>
  <c r="AC40" i="27" s="1"/>
  <c r="AD22" i="27"/>
  <c r="AD40" i="27" s="1"/>
  <c r="AE22" i="27"/>
  <c r="AE40" i="27" s="1"/>
  <c r="AF22" i="27"/>
  <c r="AF40" i="27" s="1"/>
  <c r="AG22" i="27"/>
  <c r="AG40" i="27" s="1"/>
  <c r="AH22" i="27"/>
  <c r="AH40" i="27" s="1"/>
  <c r="AI22" i="27"/>
  <c r="AI40" i="27" s="1"/>
  <c r="AJ22" i="27"/>
  <c r="AJ40" i="27" s="1"/>
  <c r="AK22" i="27"/>
  <c r="AK40" i="27" s="1"/>
  <c r="AL22" i="27"/>
  <c r="AL40" i="27" s="1"/>
  <c r="O23" i="27"/>
  <c r="O41" i="27" s="1"/>
  <c r="P23" i="27"/>
  <c r="P41" i="27" s="1"/>
  <c r="Q23" i="27"/>
  <c r="Q41" i="27" s="1"/>
  <c r="R23" i="27"/>
  <c r="R41" i="27" s="1"/>
  <c r="S23" i="27"/>
  <c r="S41" i="27" s="1"/>
  <c r="T23" i="27"/>
  <c r="T41" i="27" s="1"/>
  <c r="U23" i="27"/>
  <c r="U41" i="27" s="1"/>
  <c r="V23" i="27"/>
  <c r="V41" i="27" s="1"/>
  <c r="W23" i="27"/>
  <c r="W41" i="27" s="1"/>
  <c r="X23" i="27"/>
  <c r="X41" i="27" s="1"/>
  <c r="Y23" i="27"/>
  <c r="Y41" i="27" s="1"/>
  <c r="Z23" i="27"/>
  <c r="Z41" i="27" s="1"/>
  <c r="AA23" i="27"/>
  <c r="AA41" i="27" s="1"/>
  <c r="AB23" i="27"/>
  <c r="AB41" i="27" s="1"/>
  <c r="AC23" i="27"/>
  <c r="AC41" i="27" s="1"/>
  <c r="AD23" i="27"/>
  <c r="AD41" i="27" s="1"/>
  <c r="AE23" i="27"/>
  <c r="AE41" i="27" s="1"/>
  <c r="AF23" i="27"/>
  <c r="AF41" i="27" s="1"/>
  <c r="AG23" i="27"/>
  <c r="AG41" i="27" s="1"/>
  <c r="AH23" i="27"/>
  <c r="AH41" i="27" s="1"/>
  <c r="AI23" i="27"/>
  <c r="AI41" i="27" s="1"/>
  <c r="AJ23" i="27"/>
  <c r="AJ41" i="27" s="1"/>
  <c r="AK23" i="27"/>
  <c r="AK41" i="27" s="1"/>
  <c r="AL23" i="27"/>
  <c r="AL41" i="27" s="1"/>
  <c r="O24" i="27"/>
  <c r="O42" i="27" s="1"/>
  <c r="P24" i="27"/>
  <c r="P42" i="27" s="1"/>
  <c r="Q24" i="27"/>
  <c r="Q42" i="27" s="1"/>
  <c r="R24" i="27"/>
  <c r="R42" i="27" s="1"/>
  <c r="S24" i="27"/>
  <c r="S42" i="27" s="1"/>
  <c r="T24" i="27"/>
  <c r="T42" i="27" s="1"/>
  <c r="U24" i="27"/>
  <c r="U42" i="27" s="1"/>
  <c r="V24" i="27"/>
  <c r="V42" i="27" s="1"/>
  <c r="W24" i="27"/>
  <c r="W42" i="27" s="1"/>
  <c r="X24" i="27"/>
  <c r="X42" i="27" s="1"/>
  <c r="Y24" i="27"/>
  <c r="Y42" i="27" s="1"/>
  <c r="Z24" i="27"/>
  <c r="Z42" i="27" s="1"/>
  <c r="AA24" i="27"/>
  <c r="AA42" i="27" s="1"/>
  <c r="AB24" i="27"/>
  <c r="AB42" i="27" s="1"/>
  <c r="AC24" i="27"/>
  <c r="AC42" i="27" s="1"/>
  <c r="AD24" i="27"/>
  <c r="AD42" i="27" s="1"/>
  <c r="AE24" i="27"/>
  <c r="AE42" i="27" s="1"/>
  <c r="AF24" i="27"/>
  <c r="AF42" i="27" s="1"/>
  <c r="AG24" i="27"/>
  <c r="AG42" i="27" s="1"/>
  <c r="AH24" i="27"/>
  <c r="AH42" i="27" s="1"/>
  <c r="AI24" i="27"/>
  <c r="AI42" i="27" s="1"/>
  <c r="AJ24" i="27"/>
  <c r="AJ42" i="27" s="1"/>
  <c r="AK24" i="27"/>
  <c r="AK42" i="27" s="1"/>
  <c r="AL24" i="27"/>
  <c r="AL42" i="27" s="1"/>
  <c r="D54" i="27" l="1"/>
  <c r="A53" i="27"/>
  <c r="D53" i="27" s="1"/>
  <c r="D52" i="27"/>
  <c r="D50" i="27"/>
  <c r="F53" i="27"/>
  <c r="D49" i="27"/>
  <c r="A52" i="27"/>
  <c r="A51" i="27"/>
  <c r="B51" i="27" s="1"/>
  <c r="A50" i="27"/>
  <c r="B50" i="27" s="1"/>
  <c r="A49" i="27"/>
  <c r="C28" i="27"/>
  <c r="J28" i="27"/>
  <c r="K28" i="27"/>
  <c r="F29" i="27"/>
  <c r="G29" i="27"/>
  <c r="N29" i="27"/>
  <c r="C30" i="27"/>
  <c r="J30" i="27"/>
  <c r="K30" i="27"/>
  <c r="F31" i="27"/>
  <c r="G31" i="27"/>
  <c r="N31" i="27"/>
  <c r="C32" i="27"/>
  <c r="J32" i="27"/>
  <c r="K32" i="27"/>
  <c r="F33" i="27"/>
  <c r="G33" i="27"/>
  <c r="N33" i="27"/>
  <c r="C34" i="27"/>
  <c r="J34" i="27"/>
  <c r="K34" i="27"/>
  <c r="F35" i="27"/>
  <c r="G35" i="27"/>
  <c r="N35" i="27"/>
  <c r="C36" i="27"/>
  <c r="J36" i="27"/>
  <c r="K36" i="27"/>
  <c r="F37" i="27"/>
  <c r="G37" i="27"/>
  <c r="N37" i="27"/>
  <c r="C38" i="27"/>
  <c r="J38" i="27"/>
  <c r="K38" i="27"/>
  <c r="F39" i="27"/>
  <c r="G39" i="27"/>
  <c r="N39" i="27"/>
  <c r="C40" i="27"/>
  <c r="J40" i="27"/>
  <c r="K40" i="27"/>
  <c r="F41" i="27"/>
  <c r="G41" i="27"/>
  <c r="N41" i="27"/>
  <c r="C42" i="27"/>
  <c r="J42" i="27"/>
  <c r="K42" i="27"/>
  <c r="B32" i="27"/>
  <c r="B33" i="27"/>
  <c r="B40" i="27"/>
  <c r="B41" i="27"/>
  <c r="N24" i="27"/>
  <c r="N42" i="27" s="1"/>
  <c r="C10" i="27"/>
  <c r="D10" i="27"/>
  <c r="D28" i="27" s="1"/>
  <c r="E10" i="27"/>
  <c r="E28" i="27" s="1"/>
  <c r="F10" i="27"/>
  <c r="F28" i="27" s="1"/>
  <c r="G10" i="27"/>
  <c r="G28" i="27" s="1"/>
  <c r="H10" i="27"/>
  <c r="H28" i="27" s="1"/>
  <c r="I10" i="27"/>
  <c r="I28" i="27" s="1"/>
  <c r="J10" i="27"/>
  <c r="K10" i="27"/>
  <c r="L10" i="27"/>
  <c r="L28" i="27" s="1"/>
  <c r="M10" i="27"/>
  <c r="M28" i="27" s="1"/>
  <c r="N10" i="27"/>
  <c r="N28" i="27" s="1"/>
  <c r="C11" i="27"/>
  <c r="C29" i="27" s="1"/>
  <c r="D11" i="27"/>
  <c r="D29" i="27" s="1"/>
  <c r="E11" i="27"/>
  <c r="E29" i="27" s="1"/>
  <c r="F11" i="27"/>
  <c r="G11" i="27"/>
  <c r="H11" i="27"/>
  <c r="H29" i="27" s="1"/>
  <c r="I11" i="27"/>
  <c r="I29" i="27" s="1"/>
  <c r="J11" i="27"/>
  <c r="J29" i="27" s="1"/>
  <c r="K11" i="27"/>
  <c r="K29" i="27" s="1"/>
  <c r="L11" i="27"/>
  <c r="L29" i="27" s="1"/>
  <c r="M11" i="27"/>
  <c r="M29" i="27" s="1"/>
  <c r="N11" i="27"/>
  <c r="C12" i="27"/>
  <c r="D12" i="27"/>
  <c r="D30" i="27" s="1"/>
  <c r="E12" i="27"/>
  <c r="E30" i="27" s="1"/>
  <c r="F12" i="27"/>
  <c r="F30" i="27" s="1"/>
  <c r="G12" i="27"/>
  <c r="G30" i="27" s="1"/>
  <c r="H12" i="27"/>
  <c r="H30" i="27" s="1"/>
  <c r="I12" i="27"/>
  <c r="I30" i="27" s="1"/>
  <c r="J12" i="27"/>
  <c r="K12" i="27"/>
  <c r="L12" i="27"/>
  <c r="L30" i="27" s="1"/>
  <c r="M12" i="27"/>
  <c r="M30" i="27" s="1"/>
  <c r="N12" i="27"/>
  <c r="N30" i="27" s="1"/>
  <c r="C13" i="27"/>
  <c r="C31" i="27" s="1"/>
  <c r="D13" i="27"/>
  <c r="D31" i="27" s="1"/>
  <c r="E13" i="27"/>
  <c r="E31" i="27" s="1"/>
  <c r="F13" i="27"/>
  <c r="G13" i="27"/>
  <c r="H13" i="27"/>
  <c r="H31" i="27" s="1"/>
  <c r="I13" i="27"/>
  <c r="I31" i="27" s="1"/>
  <c r="J13" i="27"/>
  <c r="J31" i="27" s="1"/>
  <c r="K13" i="27"/>
  <c r="K31" i="27" s="1"/>
  <c r="L13" i="27"/>
  <c r="L31" i="27" s="1"/>
  <c r="M13" i="27"/>
  <c r="M31" i="27" s="1"/>
  <c r="N13" i="27"/>
  <c r="C14" i="27"/>
  <c r="D14" i="27"/>
  <c r="D32" i="27" s="1"/>
  <c r="E14" i="27"/>
  <c r="E32" i="27" s="1"/>
  <c r="F14" i="27"/>
  <c r="F32" i="27" s="1"/>
  <c r="G14" i="27"/>
  <c r="G32" i="27" s="1"/>
  <c r="H14" i="27"/>
  <c r="H32" i="27" s="1"/>
  <c r="I14" i="27"/>
  <c r="I32" i="27" s="1"/>
  <c r="J14" i="27"/>
  <c r="K14" i="27"/>
  <c r="L14" i="27"/>
  <c r="L32" i="27" s="1"/>
  <c r="M14" i="27"/>
  <c r="M32" i="27" s="1"/>
  <c r="N14" i="27"/>
  <c r="N32" i="27" s="1"/>
  <c r="C15" i="27"/>
  <c r="C33" i="27" s="1"/>
  <c r="D15" i="27"/>
  <c r="D33" i="27" s="1"/>
  <c r="E15" i="27"/>
  <c r="E33" i="27" s="1"/>
  <c r="F15" i="27"/>
  <c r="G15" i="27"/>
  <c r="H15" i="27"/>
  <c r="H33" i="27" s="1"/>
  <c r="I15" i="27"/>
  <c r="I33" i="27" s="1"/>
  <c r="J15" i="27"/>
  <c r="J33" i="27" s="1"/>
  <c r="K15" i="27"/>
  <c r="K33" i="27" s="1"/>
  <c r="L15" i="27"/>
  <c r="L33" i="27" s="1"/>
  <c r="M15" i="27"/>
  <c r="M33" i="27" s="1"/>
  <c r="N15" i="27"/>
  <c r="C16" i="27"/>
  <c r="D16" i="27"/>
  <c r="D34" i="27" s="1"/>
  <c r="E16" i="27"/>
  <c r="E34" i="27" s="1"/>
  <c r="F16" i="27"/>
  <c r="F34" i="27" s="1"/>
  <c r="G16" i="27"/>
  <c r="G34" i="27" s="1"/>
  <c r="H16" i="27"/>
  <c r="H34" i="27" s="1"/>
  <c r="I16" i="27"/>
  <c r="I34" i="27" s="1"/>
  <c r="J16" i="27"/>
  <c r="K16" i="27"/>
  <c r="L16" i="27"/>
  <c r="L34" i="27" s="1"/>
  <c r="M16" i="27"/>
  <c r="M34" i="27" s="1"/>
  <c r="N16" i="27"/>
  <c r="N34" i="27" s="1"/>
  <c r="C17" i="27"/>
  <c r="C35" i="27" s="1"/>
  <c r="D17" i="27"/>
  <c r="D35" i="27" s="1"/>
  <c r="E17" i="27"/>
  <c r="E35" i="27" s="1"/>
  <c r="F17" i="27"/>
  <c r="G17" i="27"/>
  <c r="H17" i="27"/>
  <c r="H35" i="27" s="1"/>
  <c r="I17" i="27"/>
  <c r="I35" i="27" s="1"/>
  <c r="J17" i="27"/>
  <c r="J35" i="27" s="1"/>
  <c r="K17" i="27"/>
  <c r="K35" i="27" s="1"/>
  <c r="L17" i="27"/>
  <c r="L35" i="27" s="1"/>
  <c r="M17" i="27"/>
  <c r="M35" i="27" s="1"/>
  <c r="N17" i="27"/>
  <c r="C18" i="27"/>
  <c r="D18" i="27"/>
  <c r="D36" i="27" s="1"/>
  <c r="E18" i="27"/>
  <c r="E36" i="27" s="1"/>
  <c r="F18" i="27"/>
  <c r="F36" i="27" s="1"/>
  <c r="G18" i="27"/>
  <c r="G36" i="27" s="1"/>
  <c r="H18" i="27"/>
  <c r="H36" i="27" s="1"/>
  <c r="I18" i="27"/>
  <c r="I36" i="27" s="1"/>
  <c r="J18" i="27"/>
  <c r="K18" i="27"/>
  <c r="L18" i="27"/>
  <c r="L36" i="27" s="1"/>
  <c r="M18" i="27"/>
  <c r="M36" i="27" s="1"/>
  <c r="N18" i="27"/>
  <c r="N36" i="27" s="1"/>
  <c r="C19" i="27"/>
  <c r="C37" i="27" s="1"/>
  <c r="D19" i="27"/>
  <c r="D37" i="27" s="1"/>
  <c r="E19" i="27"/>
  <c r="E37" i="27" s="1"/>
  <c r="F19" i="27"/>
  <c r="G19" i="27"/>
  <c r="H19" i="27"/>
  <c r="H37" i="27" s="1"/>
  <c r="I19" i="27"/>
  <c r="I37" i="27" s="1"/>
  <c r="J19" i="27"/>
  <c r="J37" i="27" s="1"/>
  <c r="K19" i="27"/>
  <c r="K37" i="27" s="1"/>
  <c r="L19" i="27"/>
  <c r="L37" i="27" s="1"/>
  <c r="M19" i="27"/>
  <c r="M37" i="27" s="1"/>
  <c r="N19" i="27"/>
  <c r="C20" i="27"/>
  <c r="D20" i="27"/>
  <c r="D38" i="27" s="1"/>
  <c r="E20" i="27"/>
  <c r="E38" i="27" s="1"/>
  <c r="F20" i="27"/>
  <c r="F38" i="27" s="1"/>
  <c r="G20" i="27"/>
  <c r="G38" i="27" s="1"/>
  <c r="H20" i="27"/>
  <c r="H38" i="27" s="1"/>
  <c r="I20" i="27"/>
  <c r="I38" i="27" s="1"/>
  <c r="J20" i="27"/>
  <c r="K20" i="27"/>
  <c r="L20" i="27"/>
  <c r="L38" i="27" s="1"/>
  <c r="M20" i="27"/>
  <c r="M38" i="27" s="1"/>
  <c r="N20" i="27"/>
  <c r="N38" i="27" s="1"/>
  <c r="C21" i="27"/>
  <c r="C39" i="27" s="1"/>
  <c r="D21" i="27"/>
  <c r="D39" i="27" s="1"/>
  <c r="E21" i="27"/>
  <c r="E39" i="27" s="1"/>
  <c r="F21" i="27"/>
  <c r="G21" i="27"/>
  <c r="H21" i="27"/>
  <c r="H39" i="27" s="1"/>
  <c r="I21" i="27"/>
  <c r="I39" i="27" s="1"/>
  <c r="J21" i="27"/>
  <c r="J39" i="27" s="1"/>
  <c r="K21" i="27"/>
  <c r="K39" i="27" s="1"/>
  <c r="L21" i="27"/>
  <c r="L39" i="27" s="1"/>
  <c r="M21" i="27"/>
  <c r="M39" i="27" s="1"/>
  <c r="N21" i="27"/>
  <c r="C22" i="27"/>
  <c r="D22" i="27"/>
  <c r="D40" i="27" s="1"/>
  <c r="E22" i="27"/>
  <c r="E40" i="27" s="1"/>
  <c r="F22" i="27"/>
  <c r="F40" i="27" s="1"/>
  <c r="G22" i="27"/>
  <c r="G40" i="27" s="1"/>
  <c r="H22" i="27"/>
  <c r="H40" i="27" s="1"/>
  <c r="I22" i="27"/>
  <c r="I40" i="27" s="1"/>
  <c r="J22" i="27"/>
  <c r="K22" i="27"/>
  <c r="L22" i="27"/>
  <c r="L40" i="27" s="1"/>
  <c r="M22" i="27"/>
  <c r="M40" i="27" s="1"/>
  <c r="N22" i="27"/>
  <c r="N40" i="27" s="1"/>
  <c r="C23" i="27"/>
  <c r="C41" i="27" s="1"/>
  <c r="D23" i="27"/>
  <c r="D41" i="27" s="1"/>
  <c r="E23" i="27"/>
  <c r="E41" i="27" s="1"/>
  <c r="F23" i="27"/>
  <c r="G23" i="27"/>
  <c r="H23" i="27"/>
  <c r="H41" i="27" s="1"/>
  <c r="I23" i="27"/>
  <c r="I41" i="27" s="1"/>
  <c r="J23" i="27"/>
  <c r="J41" i="27" s="1"/>
  <c r="K23" i="27"/>
  <c r="K41" i="27" s="1"/>
  <c r="L23" i="27"/>
  <c r="L41" i="27" s="1"/>
  <c r="M23" i="27"/>
  <c r="M41" i="27" s="1"/>
  <c r="N23" i="27"/>
  <c r="C24" i="27"/>
  <c r="D24" i="27"/>
  <c r="D42" i="27" s="1"/>
  <c r="E24" i="27"/>
  <c r="E42" i="27" s="1"/>
  <c r="F24" i="27"/>
  <c r="F42" i="27" s="1"/>
  <c r="G24" i="27"/>
  <c r="G42" i="27" s="1"/>
  <c r="H24" i="27"/>
  <c r="H42" i="27" s="1"/>
  <c r="I24" i="27"/>
  <c r="I42" i="27" s="1"/>
  <c r="J24" i="27"/>
  <c r="K24" i="27"/>
  <c r="L24" i="27"/>
  <c r="L42" i="27" s="1"/>
  <c r="M24" i="27"/>
  <c r="M42" i="27" s="1"/>
  <c r="B11" i="27"/>
  <c r="B29" i="27" s="1"/>
  <c r="B12" i="27"/>
  <c r="B30" i="27" s="1"/>
  <c r="B13" i="27"/>
  <c r="B31" i="27" s="1"/>
  <c r="B14" i="27"/>
  <c r="B15" i="27"/>
  <c r="B16" i="27"/>
  <c r="B34" i="27" s="1"/>
  <c r="B17" i="27"/>
  <c r="B35" i="27" s="1"/>
  <c r="B18" i="27"/>
  <c r="B36" i="27" s="1"/>
  <c r="B19" i="27"/>
  <c r="B37" i="27" s="1"/>
  <c r="B20" i="27"/>
  <c r="B38" i="27" s="1"/>
  <c r="B21" i="27"/>
  <c r="B39" i="27" s="1"/>
  <c r="B22" i="27"/>
  <c r="B23" i="27"/>
  <c r="B24" i="27"/>
  <c r="B42" i="27" s="1"/>
  <c r="B10" i="27"/>
  <c r="B28" i="27" s="1"/>
  <c r="L11" i="24"/>
  <c r="L10" i="24"/>
  <c r="K11" i="24"/>
  <c r="K10" i="24"/>
  <c r="B11" i="26"/>
  <c r="C11" i="26"/>
  <c r="D11" i="26"/>
  <c r="D6" i="26"/>
  <c r="D7" i="26"/>
  <c r="C7" i="26"/>
  <c r="C8" i="26"/>
  <c r="D8" i="26" s="1"/>
  <c r="C9" i="26"/>
  <c r="C10" i="26"/>
  <c r="C6" i="26"/>
  <c r="B6" i="26"/>
  <c r="B7" i="26"/>
  <c r="B8" i="26"/>
  <c r="B9" i="26"/>
  <c r="D9" i="26" s="1"/>
  <c r="B10" i="26"/>
  <c r="D10" i="26" s="1"/>
  <c r="C5" i="26"/>
  <c r="B5" i="26"/>
  <c r="D5" i="26" s="1"/>
  <c r="C3" i="26"/>
  <c r="B3" i="26"/>
  <c r="N5" i="24"/>
  <c r="N4" i="24"/>
  <c r="M5" i="24"/>
  <c r="M6" i="24"/>
  <c r="M4" i="24"/>
  <c r="K6" i="24"/>
  <c r="N6" i="24" s="1"/>
  <c r="B96" i="24"/>
  <c r="C96" i="24"/>
  <c r="D96" i="24"/>
  <c r="D90" i="24"/>
  <c r="D91" i="24"/>
  <c r="D92" i="24"/>
  <c r="D93" i="24"/>
  <c r="D94" i="24"/>
  <c r="D95" i="24"/>
  <c r="D89" i="24"/>
  <c r="C95" i="24"/>
  <c r="C90" i="24"/>
  <c r="C91" i="24"/>
  <c r="C92" i="24"/>
  <c r="C93" i="24"/>
  <c r="C94" i="24"/>
  <c r="C89" i="24"/>
  <c r="B89" i="24"/>
  <c r="B90" i="24"/>
  <c r="B91" i="24"/>
  <c r="B92" i="24"/>
  <c r="B93" i="24"/>
  <c r="B94" i="24"/>
  <c r="B95" i="24"/>
  <c r="G4" i="24"/>
  <c r="G3" i="24"/>
  <c r="F4" i="24"/>
  <c r="F3" i="24"/>
  <c r="E4" i="24"/>
  <c r="E6" i="24" s="1"/>
  <c r="E3" i="24"/>
  <c r="D4" i="24"/>
  <c r="D3" i="24"/>
  <c r="C4" i="24"/>
  <c r="C3" i="24"/>
  <c r="B4" i="24"/>
  <c r="B3" i="24"/>
  <c r="L6" i="24"/>
  <c r="L5" i="24"/>
  <c r="L4" i="24"/>
  <c r="L3" i="24"/>
  <c r="C40" i="24"/>
  <c r="D40" i="24"/>
  <c r="E40" i="24"/>
  <c r="F40" i="24"/>
  <c r="G40" i="24"/>
  <c r="B40" i="24"/>
  <c r="H60" i="24"/>
  <c r="H65" i="24" s="1"/>
  <c r="H61" i="24"/>
  <c r="H66" i="24" s="1"/>
  <c r="H50" i="24"/>
  <c r="H67" i="24"/>
  <c r="H51" i="24"/>
  <c r="H68" i="24" s="1"/>
  <c r="M20" i="6"/>
  <c r="M21" i="6"/>
  <c r="H6" i="24"/>
  <c r="G6" i="24"/>
  <c r="E78" i="24"/>
  <c r="D78" i="24"/>
  <c r="F78" i="24"/>
  <c r="E77" i="24"/>
  <c r="F77" i="24" s="1"/>
  <c r="D77" i="24"/>
  <c r="A77" i="24"/>
  <c r="A78" i="24"/>
  <c r="B60" i="24"/>
  <c r="B65" i="24"/>
  <c r="C61" i="24"/>
  <c r="C66" i="24" s="1"/>
  <c r="D61" i="24"/>
  <c r="D66" i="24" s="1"/>
  <c r="E61" i="24"/>
  <c r="F61" i="24"/>
  <c r="G61" i="24"/>
  <c r="B61" i="24"/>
  <c r="B66" i="24" s="1"/>
  <c r="C60" i="24"/>
  <c r="D60" i="24"/>
  <c r="E60" i="24"/>
  <c r="E65" i="24" s="1"/>
  <c r="F60" i="24"/>
  <c r="F65" i="24" s="1"/>
  <c r="G60" i="24"/>
  <c r="H46" i="24"/>
  <c r="H47" i="24"/>
  <c r="H48" i="24"/>
  <c r="H45" i="24"/>
  <c r="G46" i="24"/>
  <c r="G47" i="24"/>
  <c r="G48" i="24"/>
  <c r="G45" i="24"/>
  <c r="F46" i="24"/>
  <c r="F47" i="24"/>
  <c r="F48" i="24"/>
  <c r="F45" i="24"/>
  <c r="E46" i="24"/>
  <c r="E47" i="24"/>
  <c r="E48" i="24"/>
  <c r="E45" i="24"/>
  <c r="D46" i="24"/>
  <c r="D47" i="24"/>
  <c r="D48" i="24"/>
  <c r="D45" i="24"/>
  <c r="C46" i="24"/>
  <c r="C47" i="24"/>
  <c r="C48" i="24"/>
  <c r="C45" i="24"/>
  <c r="B45" i="24"/>
  <c r="C50" i="24"/>
  <c r="D50" i="24"/>
  <c r="D67" i="24" s="1"/>
  <c r="E50" i="24"/>
  <c r="F50" i="24"/>
  <c r="G50" i="24"/>
  <c r="G67" i="24" s="1"/>
  <c r="C51" i="24"/>
  <c r="C68" i="24" s="1"/>
  <c r="D51" i="24"/>
  <c r="E51" i="24"/>
  <c r="F51" i="24"/>
  <c r="G51" i="24"/>
  <c r="G68" i="24" s="1"/>
  <c r="B51" i="24"/>
  <c r="B50" i="24"/>
  <c r="B46" i="24"/>
  <c r="B47" i="24"/>
  <c r="B48" i="24"/>
  <c r="F68" i="24"/>
  <c r="E68" i="24"/>
  <c r="D68" i="24"/>
  <c r="B68" i="24"/>
  <c r="F67" i="24"/>
  <c r="E67" i="24"/>
  <c r="C67" i="24"/>
  <c r="B67" i="24"/>
  <c r="G66" i="24"/>
  <c r="F66" i="24"/>
  <c r="E66" i="24"/>
  <c r="G65" i="24"/>
  <c r="D65" i="24"/>
  <c r="C65" i="24"/>
  <c r="B6" i="24"/>
  <c r="H49" i="24" s="1"/>
  <c r="F49" i="24"/>
  <c r="C49" i="24"/>
  <c r="B49" i="24"/>
  <c r="C39" i="24"/>
  <c r="D39" i="24"/>
  <c r="E39" i="24"/>
  <c r="F39" i="24"/>
  <c r="G39" i="24"/>
  <c r="B39" i="24"/>
  <c r="C17" i="24"/>
  <c r="C34" i="24" s="1"/>
  <c r="D17" i="24"/>
  <c r="D34" i="24" s="1"/>
  <c r="E17" i="24"/>
  <c r="E34" i="24"/>
  <c r="F17" i="24"/>
  <c r="F34" i="24" s="1"/>
  <c r="G17" i="24"/>
  <c r="G34" i="24" s="1"/>
  <c r="B17" i="24"/>
  <c r="B34" i="24" s="1"/>
  <c r="C16" i="24"/>
  <c r="C33" i="24"/>
  <c r="D16" i="24"/>
  <c r="D33" i="24" s="1"/>
  <c r="E16" i="24"/>
  <c r="E33" i="24" s="1"/>
  <c r="F16" i="24"/>
  <c r="F33" i="24" s="1"/>
  <c r="G16" i="24"/>
  <c r="G33" i="24"/>
  <c r="B16" i="24"/>
  <c r="B33" i="24"/>
  <c r="C27" i="24"/>
  <c r="C32" i="24" s="1"/>
  <c r="D27" i="24"/>
  <c r="D32" i="24" s="1"/>
  <c r="E27" i="24"/>
  <c r="E32" i="24"/>
  <c r="F27" i="24"/>
  <c r="F32" i="24"/>
  <c r="G27" i="24"/>
  <c r="G32" i="24" s="1"/>
  <c r="B27" i="24"/>
  <c r="B32" i="24" s="1"/>
  <c r="C26" i="24"/>
  <c r="C31" i="24"/>
  <c r="D26" i="24"/>
  <c r="D31" i="24"/>
  <c r="E26" i="24"/>
  <c r="E31" i="24" s="1"/>
  <c r="F26" i="24"/>
  <c r="F31" i="24" s="1"/>
  <c r="G26" i="24"/>
  <c r="G31" i="24"/>
  <c r="B26" i="24"/>
  <c r="B31" i="24"/>
  <c r="H26" i="24"/>
  <c r="H27" i="24"/>
  <c r="H12" i="24"/>
  <c r="H13" i="24"/>
  <c r="H14" i="24"/>
  <c r="H11" i="24"/>
  <c r="G12" i="24"/>
  <c r="G13" i="24"/>
  <c r="G14" i="24"/>
  <c r="G11" i="24"/>
  <c r="F12" i="24"/>
  <c r="F13" i="24"/>
  <c r="F14" i="24"/>
  <c r="F11" i="24"/>
  <c r="E12" i="24"/>
  <c r="E13" i="24"/>
  <c r="E14" i="24"/>
  <c r="E11" i="24"/>
  <c r="D12" i="24"/>
  <c r="D13" i="24"/>
  <c r="D14" i="24"/>
  <c r="D11" i="24"/>
  <c r="C12" i="24"/>
  <c r="C13" i="24"/>
  <c r="C14" i="24"/>
  <c r="C11" i="24"/>
  <c r="C15" i="24"/>
  <c r="D15" i="24"/>
  <c r="E15" i="24"/>
  <c r="F15" i="24"/>
  <c r="G15" i="24"/>
  <c r="H15" i="24"/>
  <c r="H16" i="24"/>
  <c r="H17" i="24"/>
  <c r="B15" i="24"/>
  <c r="B12" i="24"/>
  <c r="B13" i="24"/>
  <c r="B14" i="24"/>
  <c r="B11" i="24"/>
  <c r="E103" i="21"/>
  <c r="E107" i="21"/>
  <c r="E110" i="21"/>
  <c r="E111" i="21"/>
  <c r="E115" i="21"/>
  <c r="E118" i="21"/>
  <c r="E102" i="21"/>
  <c r="D103" i="21"/>
  <c r="D104" i="21"/>
  <c r="E104" i="21" s="1"/>
  <c r="D105" i="21"/>
  <c r="E105" i="21" s="1"/>
  <c r="D106" i="21"/>
  <c r="E106" i="21" s="1"/>
  <c r="D107" i="21"/>
  <c r="D108" i="21"/>
  <c r="E108" i="21" s="1"/>
  <c r="D109" i="21"/>
  <c r="E109" i="21" s="1"/>
  <c r="D110" i="21"/>
  <c r="D111" i="21"/>
  <c r="D112" i="21"/>
  <c r="E112" i="21" s="1"/>
  <c r="D113" i="21"/>
  <c r="E113" i="21" s="1"/>
  <c r="D114" i="21"/>
  <c r="E114" i="21" s="1"/>
  <c r="D115" i="21"/>
  <c r="D116" i="21"/>
  <c r="E116" i="21" s="1"/>
  <c r="D117" i="21"/>
  <c r="E117" i="21" s="1"/>
  <c r="D118" i="21"/>
  <c r="D102" i="21"/>
  <c r="C105" i="21"/>
  <c r="C108" i="21"/>
  <c r="C109" i="21"/>
  <c r="C113" i="21"/>
  <c r="C116" i="21"/>
  <c r="C117" i="21"/>
  <c r="B103" i="21"/>
  <c r="C103" i="21" s="1"/>
  <c r="B104" i="21"/>
  <c r="C104" i="21" s="1"/>
  <c r="B105" i="21"/>
  <c r="B106" i="21"/>
  <c r="C106" i="21" s="1"/>
  <c r="B107" i="21"/>
  <c r="C107" i="21" s="1"/>
  <c r="B108" i="21"/>
  <c r="B109" i="21"/>
  <c r="B110" i="21"/>
  <c r="C110" i="21" s="1"/>
  <c r="B111" i="21"/>
  <c r="C111" i="21" s="1"/>
  <c r="B112" i="21"/>
  <c r="C112" i="21" s="1"/>
  <c r="B113" i="21"/>
  <c r="B114" i="21"/>
  <c r="C114" i="21" s="1"/>
  <c r="B115" i="21"/>
  <c r="C115" i="21" s="1"/>
  <c r="B116" i="21"/>
  <c r="B117" i="21"/>
  <c r="B118" i="21"/>
  <c r="C118" i="21" s="1"/>
  <c r="B102" i="21"/>
  <c r="C102" i="21" s="1"/>
  <c r="V114" i="4"/>
  <c r="I33" i="23"/>
  <c r="I37" i="23"/>
  <c r="B38" i="23"/>
  <c r="C38" i="23"/>
  <c r="D38" i="23"/>
  <c r="E38" i="23"/>
  <c r="F38" i="23"/>
  <c r="G38" i="23"/>
  <c r="A38" i="23"/>
  <c r="H31" i="23"/>
  <c r="I31" i="23" s="1"/>
  <c r="H32" i="23"/>
  <c r="I32" i="23" s="1"/>
  <c r="H33" i="23"/>
  <c r="H34" i="23"/>
  <c r="I34" i="23" s="1"/>
  <c r="H35" i="23"/>
  <c r="I35" i="23" s="1"/>
  <c r="H36" i="23"/>
  <c r="I36" i="23" s="1"/>
  <c r="H37" i="23"/>
  <c r="H38" i="23" s="1"/>
  <c r="I38" i="23" s="1"/>
  <c r="H39" i="23"/>
  <c r="I39" i="23" s="1"/>
  <c r="H40" i="23"/>
  <c r="I40" i="23" s="1"/>
  <c r="H30" i="23"/>
  <c r="I30" i="23" s="1"/>
  <c r="J10" i="23"/>
  <c r="K10" i="23" s="1"/>
  <c r="J11" i="23"/>
  <c r="K11" i="23" s="1"/>
  <c r="J12" i="23"/>
  <c r="K12" i="23" s="1"/>
  <c r="J13" i="23"/>
  <c r="K13" i="23" s="1"/>
  <c r="J14" i="23"/>
  <c r="K14" i="23" s="1"/>
  <c r="J9" i="23"/>
  <c r="K9" i="23" s="1"/>
  <c r="O7" i="22"/>
  <c r="O8" i="22"/>
  <c r="O9" i="22"/>
  <c r="B10" i="22"/>
  <c r="D10" i="22" s="1"/>
  <c r="O10" i="22"/>
  <c r="O11" i="22"/>
  <c r="O12" i="22"/>
  <c r="O13" i="22"/>
  <c r="O14" i="22"/>
  <c r="C15" i="22"/>
  <c r="B15" i="22"/>
  <c r="D15" i="22" s="1"/>
  <c r="O15" i="22" s="1"/>
  <c r="E15" i="22"/>
  <c r="B16" i="22"/>
  <c r="D16" i="22"/>
  <c r="E16" i="22"/>
  <c r="E17" i="22"/>
  <c r="O17" i="22" s="1"/>
  <c r="D18" i="22"/>
  <c r="O18" i="22" s="1"/>
  <c r="E18" i="22"/>
  <c r="D19" i="22"/>
  <c r="E19" i="22"/>
  <c r="O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F18" i="22"/>
  <c r="F27" i="22"/>
  <c r="F36" i="22"/>
  <c r="F37" i="22"/>
  <c r="F45" i="22"/>
  <c r="F55" i="22"/>
  <c r="F63" i="22"/>
  <c r="F65" i="22"/>
  <c r="F16" i="22"/>
  <c r="B9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20" i="22"/>
  <c r="B19" i="22"/>
  <c r="B18" i="22"/>
  <c r="B17" i="22"/>
  <c r="B14" i="22"/>
  <c r="B13" i="22"/>
  <c r="B12" i="22"/>
  <c r="B11" i="22"/>
  <c r="B8" i="22"/>
  <c r="B7" i="22"/>
  <c r="B6" i="22"/>
  <c r="B5" i="22"/>
  <c r="J16" i="21"/>
  <c r="S88" i="4"/>
  <c r="V88" i="4" s="1"/>
  <c r="U88" i="4"/>
  <c r="S89" i="4"/>
  <c r="V89" i="4" s="1"/>
  <c r="U89" i="4"/>
  <c r="Z90" i="4"/>
  <c r="AA90" i="4" s="1"/>
  <c r="S90" i="4"/>
  <c r="U90" i="4"/>
  <c r="Z91" i="4"/>
  <c r="AA91" i="4" s="1"/>
  <c r="S91" i="4" s="1"/>
  <c r="Z92" i="4"/>
  <c r="AA92" i="4"/>
  <c r="S92" i="4" s="1"/>
  <c r="U92" i="4" s="1"/>
  <c r="Z93" i="4"/>
  <c r="AA93" i="4" s="1"/>
  <c r="S93" i="4" s="1"/>
  <c r="Z94" i="4"/>
  <c r="AA94" i="4" s="1"/>
  <c r="Z95" i="4"/>
  <c r="AA95" i="4" s="1"/>
  <c r="S95" i="4" s="1"/>
  <c r="Z96" i="4"/>
  <c r="AA96" i="4"/>
  <c r="S96" i="4" s="1"/>
  <c r="Z97" i="4"/>
  <c r="AA97" i="4"/>
  <c r="S97" i="4" s="1"/>
  <c r="U97" i="4"/>
  <c r="Z98" i="4"/>
  <c r="AA98" i="4" s="1"/>
  <c r="S98" i="4" s="1"/>
  <c r="Z99" i="4"/>
  <c r="AA99" i="4" s="1"/>
  <c r="S99" i="4" s="1"/>
  <c r="U99" i="4" s="1"/>
  <c r="Z100" i="4"/>
  <c r="AA100" i="4" s="1"/>
  <c r="S100" i="4" s="1"/>
  <c r="Z101" i="4"/>
  <c r="AA101" i="4"/>
  <c r="S101" i="4" s="1"/>
  <c r="V101" i="4" s="1"/>
  <c r="Z102" i="4"/>
  <c r="AA102" i="4"/>
  <c r="Z103" i="4"/>
  <c r="AA103" i="4" s="1"/>
  <c r="S103" i="4" s="1"/>
  <c r="Z104" i="4"/>
  <c r="AA104" i="4"/>
  <c r="S104" i="4" s="1"/>
  <c r="Z105" i="4"/>
  <c r="AA105" i="4"/>
  <c r="S105" i="4" s="1"/>
  <c r="V105" i="4" s="1"/>
  <c r="Z106" i="4"/>
  <c r="AA106" i="4" s="1"/>
  <c r="S106" i="4" s="1"/>
  <c r="Z107" i="4"/>
  <c r="AA107" i="4"/>
  <c r="S107" i="4" s="1"/>
  <c r="U107" i="4"/>
  <c r="Z108" i="4"/>
  <c r="AA108" i="4"/>
  <c r="S108" i="4" s="1"/>
  <c r="U108" i="4" s="1"/>
  <c r="Z109" i="4"/>
  <c r="AA109" i="4" s="1"/>
  <c r="S109" i="4" s="1"/>
  <c r="Z110" i="4"/>
  <c r="AA110" i="4" s="1"/>
  <c r="S110" i="4" s="1"/>
  <c r="Z111" i="4"/>
  <c r="AA111" i="4"/>
  <c r="S111" i="4" s="1"/>
  <c r="Z112" i="4"/>
  <c r="AA112" i="4"/>
  <c r="S112" i="4" s="1"/>
  <c r="Z113" i="4"/>
  <c r="AA113" i="4"/>
  <c r="S113" i="4" s="1"/>
  <c r="U113" i="4" s="1"/>
  <c r="Z114" i="4"/>
  <c r="AA114" i="4"/>
  <c r="S114" i="4"/>
  <c r="U114" i="4" s="1"/>
  <c r="Z115" i="4"/>
  <c r="AA115" i="4" s="1"/>
  <c r="S115" i="4"/>
  <c r="U115" i="4" s="1"/>
  <c r="Z116" i="4"/>
  <c r="AA116" i="4"/>
  <c r="S116" i="4"/>
  <c r="V116" i="4" s="1"/>
  <c r="Z117" i="4"/>
  <c r="AA117" i="4" s="1"/>
  <c r="S117" i="4"/>
  <c r="Z118" i="4"/>
  <c r="AA118" i="4"/>
  <c r="S118" i="4"/>
  <c r="V118" i="4" s="1"/>
  <c r="Z119" i="4"/>
  <c r="AA119" i="4" s="1"/>
  <c r="S119" i="4" s="1"/>
  <c r="U119" i="4"/>
  <c r="Z120" i="4"/>
  <c r="AA120" i="4"/>
  <c r="S120" i="4"/>
  <c r="V120" i="4" s="1"/>
  <c r="Z121" i="4"/>
  <c r="AA121" i="4" s="1"/>
  <c r="S121" i="4" s="1"/>
  <c r="Z122" i="4"/>
  <c r="AA122" i="4"/>
  <c r="S122" i="4"/>
  <c r="V122" i="4" s="1"/>
  <c r="Z123" i="4"/>
  <c r="AA123" i="4" s="1"/>
  <c r="S123" i="4"/>
  <c r="U123" i="4" s="1"/>
  <c r="Z124" i="4"/>
  <c r="AA124" i="4"/>
  <c r="S124" i="4"/>
  <c r="V124" i="4" s="1"/>
  <c r="Z125" i="4"/>
  <c r="AA125" i="4" s="1"/>
  <c r="S125" i="4"/>
  <c r="Z126" i="4"/>
  <c r="AA126" i="4"/>
  <c r="S126" i="4"/>
  <c r="V126" i="4" s="1"/>
  <c r="Z127" i="4"/>
  <c r="AA127" i="4" s="1"/>
  <c r="S127" i="4" s="1"/>
  <c r="U127" i="4"/>
  <c r="Z128" i="4"/>
  <c r="AA128" i="4"/>
  <c r="S128" i="4"/>
  <c r="V128" i="4" s="1"/>
  <c r="Z129" i="4"/>
  <c r="AA129" i="4" s="1"/>
  <c r="S129" i="4" s="1"/>
  <c r="Z130" i="4"/>
  <c r="AA130" i="4" s="1"/>
  <c r="S130" i="4" s="1"/>
  <c r="Z131" i="4"/>
  <c r="AA131" i="4" s="1"/>
  <c r="S131" i="4"/>
  <c r="Z132" i="4"/>
  <c r="AA132" i="4" s="1"/>
  <c r="S132" i="4" s="1"/>
  <c r="Z133" i="4"/>
  <c r="AA133" i="4" s="1"/>
  <c r="S133" i="4" s="1"/>
  <c r="Z134" i="4"/>
  <c r="AA134" i="4" s="1"/>
  <c r="S134" i="4" s="1"/>
  <c r="Z135" i="4"/>
  <c r="AA135" i="4" s="1"/>
  <c r="S135" i="4" s="1"/>
  <c r="Z136" i="4"/>
  <c r="AA136" i="4" s="1"/>
  <c r="S136" i="4" s="1"/>
  <c r="Z137" i="4"/>
  <c r="AA137" i="4" s="1"/>
  <c r="S137" i="4" s="1"/>
  <c r="Z138" i="4"/>
  <c r="AA138" i="4" s="1"/>
  <c r="S138" i="4" s="1"/>
  <c r="Z139" i="4"/>
  <c r="AA139" i="4" s="1"/>
  <c r="S139" i="4" s="1"/>
  <c r="Z140" i="4"/>
  <c r="AA140" i="4" s="1"/>
  <c r="S140" i="4" s="1"/>
  <c r="Z141" i="4"/>
  <c r="AA141" i="4" s="1"/>
  <c r="S141" i="4" s="1"/>
  <c r="Z142" i="4"/>
  <c r="AA142" i="4" s="1"/>
  <c r="S142" i="4" s="1"/>
  <c r="Z143" i="4"/>
  <c r="AA143" i="4" s="1"/>
  <c r="S143" i="4"/>
  <c r="Z144" i="4"/>
  <c r="AA144" i="4" s="1"/>
  <c r="S144" i="4" s="1"/>
  <c r="Z145" i="4"/>
  <c r="AA145" i="4" s="1"/>
  <c r="S145" i="4" s="1"/>
  <c r="Z146" i="4"/>
  <c r="AA146" i="4" s="1"/>
  <c r="S146" i="4" s="1"/>
  <c r="Z147" i="4"/>
  <c r="AA147" i="4" s="1"/>
  <c r="S147" i="4"/>
  <c r="Z148" i="4"/>
  <c r="AA148" i="4" s="1"/>
  <c r="S148" i="4" s="1"/>
  <c r="Z149" i="4"/>
  <c r="AA149" i="4" s="1"/>
  <c r="S149" i="4" s="1"/>
  <c r="Z150" i="4"/>
  <c r="AA150" i="4" s="1"/>
  <c r="S150" i="4" s="1"/>
  <c r="Z151" i="4"/>
  <c r="AA151" i="4" s="1"/>
  <c r="S151" i="4"/>
  <c r="Z152" i="4"/>
  <c r="AA152" i="4" s="1"/>
  <c r="S152" i="4" s="1"/>
  <c r="Z153" i="4"/>
  <c r="AA153" i="4" s="1"/>
  <c r="S153" i="4" s="1"/>
  <c r="Z154" i="4"/>
  <c r="AA154" i="4" s="1"/>
  <c r="S154" i="4" s="1"/>
  <c r="Z155" i="4"/>
  <c r="AA155" i="4" s="1"/>
  <c r="S155" i="4"/>
  <c r="Z156" i="4"/>
  <c r="AA156" i="4" s="1"/>
  <c r="S156" i="4" s="1"/>
  <c r="Z157" i="4"/>
  <c r="AA157" i="4" s="1"/>
  <c r="S157" i="4" s="1"/>
  <c r="Z158" i="4"/>
  <c r="AA158" i="4" s="1"/>
  <c r="S158" i="4" s="1"/>
  <c r="Z159" i="4"/>
  <c r="AA159" i="4" s="1"/>
  <c r="S159" i="4"/>
  <c r="Z160" i="4"/>
  <c r="AA160" i="4" s="1"/>
  <c r="S160" i="4" s="1"/>
  <c r="Z161" i="4"/>
  <c r="AA161" i="4" s="1"/>
  <c r="S161" i="4" s="1"/>
  <c r="Z162" i="4"/>
  <c r="AA162" i="4" s="1"/>
  <c r="S162" i="4" s="1"/>
  <c r="Z163" i="4"/>
  <c r="AA163" i="4" s="1"/>
  <c r="S163" i="4"/>
  <c r="Z164" i="4"/>
  <c r="AA164" i="4" s="1"/>
  <c r="S164" i="4" s="1"/>
  <c r="Z165" i="4"/>
  <c r="AA165" i="4" s="1"/>
  <c r="S165" i="4" s="1"/>
  <c r="Z166" i="4"/>
  <c r="AA166" i="4" s="1"/>
  <c r="S166" i="4" s="1"/>
  <c r="Z167" i="4"/>
  <c r="AA167" i="4" s="1"/>
  <c r="S167" i="4" s="1"/>
  <c r="Z168" i="4"/>
  <c r="AA168" i="4" s="1"/>
  <c r="S168" i="4" s="1"/>
  <c r="Z169" i="4"/>
  <c r="AA169" i="4" s="1"/>
  <c r="S169" i="4" s="1"/>
  <c r="Z170" i="4"/>
  <c r="AA170" i="4" s="1"/>
  <c r="S170" i="4" s="1"/>
  <c r="Z171" i="4"/>
  <c r="AA171" i="4" s="1"/>
  <c r="S171" i="4" s="1"/>
  <c r="Z172" i="4"/>
  <c r="AA172" i="4" s="1"/>
  <c r="S172" i="4" s="1"/>
  <c r="Z173" i="4"/>
  <c r="AA173" i="4" s="1"/>
  <c r="S173" i="4" s="1"/>
  <c r="Z174" i="4"/>
  <c r="AA174" i="4" s="1"/>
  <c r="S174" i="4" s="1"/>
  <c r="Z175" i="4"/>
  <c r="AA175" i="4" s="1"/>
  <c r="S175" i="4"/>
  <c r="S87" i="4"/>
  <c r="V87" i="4" s="1"/>
  <c r="Z87" i="4"/>
  <c r="Z88" i="4"/>
  <c r="Z89" i="4"/>
  <c r="Z187" i="4"/>
  <c r="AA187" i="4"/>
  <c r="Z186" i="4"/>
  <c r="AA186" i="4" s="1"/>
  <c r="Z185" i="4"/>
  <c r="AA185" i="4"/>
  <c r="Z184" i="4"/>
  <c r="AA184" i="4"/>
  <c r="Z183" i="4"/>
  <c r="AA183" i="4"/>
  <c r="Z182" i="4"/>
  <c r="AA182" i="4" s="1"/>
  <c r="Z181" i="4"/>
  <c r="AA181" i="4"/>
  <c r="Z180" i="4"/>
  <c r="AA180" i="4"/>
  <c r="Z179" i="4"/>
  <c r="AA179" i="4"/>
  <c r="Z178" i="4"/>
  <c r="AA178" i="4" s="1"/>
  <c r="Z177" i="4"/>
  <c r="AA177" i="4"/>
  <c r="Z176" i="4"/>
  <c r="AA176" i="4"/>
  <c r="W98" i="4"/>
  <c r="AF80" i="4"/>
  <c r="AF81" i="4" s="1"/>
  <c r="AG80" i="4"/>
  <c r="AG81" i="4" s="1"/>
  <c r="AH80" i="4"/>
  <c r="AI80" i="4"/>
  <c r="AJ80" i="4"/>
  <c r="AK80" i="4"/>
  <c r="AL80" i="4"/>
  <c r="AL81" i="4" s="1"/>
  <c r="AM80" i="4"/>
  <c r="AN80" i="4"/>
  <c r="AN81" i="4" s="1"/>
  <c r="AO80" i="4"/>
  <c r="AO81" i="4" s="1"/>
  <c r="AP80" i="4"/>
  <c r="AQ80" i="4"/>
  <c r="AR80" i="4"/>
  <c r="AS80" i="4"/>
  <c r="AT80" i="4"/>
  <c r="AT81" i="4" s="1"/>
  <c r="AU80" i="4"/>
  <c r="AV80" i="4"/>
  <c r="AV81" i="4" s="1"/>
  <c r="AW80" i="4"/>
  <c r="AW81" i="4" s="1"/>
  <c r="AX80" i="4"/>
  <c r="AY80" i="4"/>
  <c r="AZ80" i="4"/>
  <c r="BA80" i="4"/>
  <c r="BB80" i="4"/>
  <c r="BB81" i="4" s="1"/>
  <c r="BC80" i="4"/>
  <c r="BD80" i="4"/>
  <c r="BD81" i="4" s="1"/>
  <c r="BE80" i="4"/>
  <c r="BE81" i="4" s="1"/>
  <c r="BF80" i="4"/>
  <c r="BG80" i="4"/>
  <c r="BH80" i="4"/>
  <c r="BI80" i="4"/>
  <c r="BJ80" i="4"/>
  <c r="BK80" i="4"/>
  <c r="BL80" i="4"/>
  <c r="BL81" i="4" s="1"/>
  <c r="BM80" i="4"/>
  <c r="BM81" i="4" s="1"/>
  <c r="BN80" i="4"/>
  <c r="BO80" i="4"/>
  <c r="BP80" i="4"/>
  <c r="BQ80" i="4"/>
  <c r="BR80" i="4"/>
  <c r="BS80" i="4"/>
  <c r="BT80" i="4"/>
  <c r="BT81" i="4" s="1"/>
  <c r="BU80" i="4"/>
  <c r="BU81" i="4" s="1"/>
  <c r="BV80" i="4"/>
  <c r="BW80" i="4"/>
  <c r="BX80" i="4"/>
  <c r="BY80" i="4"/>
  <c r="BZ80" i="4"/>
  <c r="CA80" i="4"/>
  <c r="CB80" i="4"/>
  <c r="CB81" i="4" s="1"/>
  <c r="CC80" i="4"/>
  <c r="CC81" i="4" s="1"/>
  <c r="CD80" i="4"/>
  <c r="CE80" i="4"/>
  <c r="CF80" i="4"/>
  <c r="CG80" i="4"/>
  <c r="CH80" i="4"/>
  <c r="CI80" i="4"/>
  <c r="CJ80" i="4"/>
  <c r="CJ81" i="4" s="1"/>
  <c r="CK80" i="4"/>
  <c r="CK81" i="4" s="1"/>
  <c r="CL80" i="4"/>
  <c r="CM80" i="4"/>
  <c r="CN80" i="4"/>
  <c r="CO80" i="4"/>
  <c r="CP80" i="4"/>
  <c r="CQ80" i="4"/>
  <c r="CR80" i="4"/>
  <c r="CR81" i="4" s="1"/>
  <c r="CS80" i="4"/>
  <c r="CS81" i="4" s="1"/>
  <c r="CT80" i="4"/>
  <c r="CU80" i="4"/>
  <c r="CV80" i="4"/>
  <c r="CW80" i="4"/>
  <c r="CX80" i="4"/>
  <c r="CY80" i="4"/>
  <c r="CZ80" i="4"/>
  <c r="CZ81" i="4" s="1"/>
  <c r="DA80" i="4"/>
  <c r="DA81" i="4" s="1"/>
  <c r="DB80" i="4"/>
  <c r="DC80" i="4"/>
  <c r="DD80" i="4"/>
  <c r="DE80" i="4"/>
  <c r="DF80" i="4"/>
  <c r="DG80" i="4"/>
  <c r="DH80" i="4"/>
  <c r="DH81" i="4" s="1"/>
  <c r="DI80" i="4"/>
  <c r="DI81" i="4" s="1"/>
  <c r="DJ80" i="4"/>
  <c r="DK80" i="4"/>
  <c r="AH81" i="4"/>
  <c r="AI81" i="4"/>
  <c r="AJ81" i="4"/>
  <c r="AK81" i="4"/>
  <c r="AM81" i="4"/>
  <c r="AP81" i="4"/>
  <c r="AQ81" i="4"/>
  <c r="AR81" i="4"/>
  <c r="AS81" i="4"/>
  <c r="AU81" i="4"/>
  <c r="AX81" i="4"/>
  <c r="AY81" i="4"/>
  <c r="AZ81" i="4"/>
  <c r="BA81" i="4"/>
  <c r="BC81" i="4"/>
  <c r="BF81" i="4"/>
  <c r="BG81" i="4"/>
  <c r="BH81" i="4"/>
  <c r="BI81" i="4"/>
  <c r="BJ81" i="4"/>
  <c r="BK81" i="4"/>
  <c r="BN81" i="4"/>
  <c r="BO81" i="4"/>
  <c r="BP81" i="4"/>
  <c r="BQ81" i="4"/>
  <c r="BR81" i="4"/>
  <c r="BS81" i="4"/>
  <c r="BV81" i="4"/>
  <c r="BW81" i="4"/>
  <c r="BX81" i="4"/>
  <c r="BY81" i="4"/>
  <c r="BZ81" i="4"/>
  <c r="CA81" i="4"/>
  <c r="CD81" i="4"/>
  <c r="CE81" i="4"/>
  <c r="CF81" i="4"/>
  <c r="CG81" i="4"/>
  <c r="CH81" i="4"/>
  <c r="CI81" i="4"/>
  <c r="CL81" i="4"/>
  <c r="CM81" i="4"/>
  <c r="CN81" i="4"/>
  <c r="CO81" i="4"/>
  <c r="CP81" i="4"/>
  <c r="CQ81" i="4"/>
  <c r="CT81" i="4"/>
  <c r="CU81" i="4"/>
  <c r="CV81" i="4"/>
  <c r="CW81" i="4"/>
  <c r="CX81" i="4"/>
  <c r="CY81" i="4"/>
  <c r="DB81" i="4"/>
  <c r="DC81" i="4"/>
  <c r="DD81" i="4"/>
  <c r="DE81" i="4"/>
  <c r="DF81" i="4"/>
  <c r="DG81" i="4"/>
  <c r="DJ81" i="4"/>
  <c r="DK81" i="4"/>
  <c r="W99" i="4"/>
  <c r="X100" i="4" s="1"/>
  <c r="W100" i="4"/>
  <c r="X101" i="4"/>
  <c r="W101" i="4"/>
  <c r="W102" i="4"/>
  <c r="X103" i="4"/>
  <c r="K4" i="21"/>
  <c r="S4" i="21" s="1"/>
  <c r="L4" i="21"/>
  <c r="M4" i="21"/>
  <c r="U4" i="21" s="1"/>
  <c r="N4" i="21"/>
  <c r="O4" i="21"/>
  <c r="P4" i="21"/>
  <c r="Q4" i="21"/>
  <c r="T4" i="21"/>
  <c r="X39" i="21"/>
  <c r="Y39" i="21"/>
  <c r="S40" i="21"/>
  <c r="T40" i="21"/>
  <c r="Y40" i="21"/>
  <c r="S41" i="21"/>
  <c r="T41" i="21"/>
  <c r="K39" i="21"/>
  <c r="S39" i="21" s="1"/>
  <c r="L39" i="21"/>
  <c r="T39" i="21" s="1"/>
  <c r="M39" i="21"/>
  <c r="U39" i="21" s="1"/>
  <c r="N39" i="21"/>
  <c r="V39" i="21" s="1"/>
  <c r="O39" i="21"/>
  <c r="W39" i="21" s="1"/>
  <c r="P39" i="21"/>
  <c r="Q39" i="21"/>
  <c r="K40" i="21"/>
  <c r="L40" i="21"/>
  <c r="M40" i="21"/>
  <c r="U40" i="21" s="1"/>
  <c r="N40" i="21"/>
  <c r="V40" i="21" s="1"/>
  <c r="O40" i="21"/>
  <c r="W40" i="21" s="1"/>
  <c r="P40" i="21"/>
  <c r="X40" i="21" s="1"/>
  <c r="Q40" i="21"/>
  <c r="K41" i="21"/>
  <c r="L41" i="21"/>
  <c r="M41" i="21"/>
  <c r="U41" i="21" s="1"/>
  <c r="N41" i="21"/>
  <c r="V41" i="21" s="1"/>
  <c r="O41" i="21"/>
  <c r="W41" i="21" s="1"/>
  <c r="P41" i="21"/>
  <c r="X41" i="21" s="1"/>
  <c r="Q41" i="21"/>
  <c r="Y41" i="21" s="1"/>
  <c r="M26" i="21"/>
  <c r="M27" i="21"/>
  <c r="M28" i="21"/>
  <c r="M29" i="21"/>
  <c r="M30" i="21"/>
  <c r="M31" i="21"/>
  <c r="M32" i="21"/>
  <c r="U32" i="21" s="1"/>
  <c r="M33" i="21"/>
  <c r="M34" i="21"/>
  <c r="M35" i="21"/>
  <c r="M36" i="21"/>
  <c r="M37" i="21"/>
  <c r="M38" i="21"/>
  <c r="M25" i="21"/>
  <c r="S59" i="21"/>
  <c r="V59" i="21"/>
  <c r="X59" i="21"/>
  <c r="Y59" i="21"/>
  <c r="K59" i="21"/>
  <c r="L59" i="21"/>
  <c r="T59" i="21" s="1"/>
  <c r="M59" i="21"/>
  <c r="U59" i="21" s="1"/>
  <c r="N59" i="21"/>
  <c r="O59" i="21"/>
  <c r="W59" i="21" s="1"/>
  <c r="P59" i="21"/>
  <c r="Q59" i="21"/>
  <c r="M46" i="21"/>
  <c r="M47" i="21"/>
  <c r="M48" i="21"/>
  <c r="M49" i="21"/>
  <c r="M50" i="21"/>
  <c r="M51" i="21"/>
  <c r="M52" i="21"/>
  <c r="M53" i="21"/>
  <c r="M54" i="21"/>
  <c r="M55" i="21"/>
  <c r="M56" i="21"/>
  <c r="M57" i="21"/>
  <c r="M58" i="21"/>
  <c r="M45" i="21"/>
  <c r="P8" i="20"/>
  <c r="R8" i="19"/>
  <c r="Q8" i="19"/>
  <c r="O14" i="19"/>
  <c r="Q8" i="18"/>
  <c r="R8" i="18"/>
  <c r="O14" i="18"/>
  <c r="H83" i="21"/>
  <c r="I83" i="21"/>
  <c r="J83" i="21"/>
  <c r="K83" i="21"/>
  <c r="L83" i="21"/>
  <c r="N83" i="21"/>
  <c r="O83" i="21"/>
  <c r="P83" i="21"/>
  <c r="Q83" i="21"/>
  <c r="R83" i="21"/>
  <c r="H84" i="21"/>
  <c r="I84" i="21"/>
  <c r="J84" i="21"/>
  <c r="K84" i="21"/>
  <c r="L84" i="21"/>
  <c r="N84" i="21"/>
  <c r="O84" i="21"/>
  <c r="P84" i="21"/>
  <c r="Q84" i="21"/>
  <c r="R84" i="21"/>
  <c r="H85" i="21"/>
  <c r="I85" i="21"/>
  <c r="J85" i="21"/>
  <c r="K85" i="21"/>
  <c r="L85" i="21"/>
  <c r="N85" i="21"/>
  <c r="O85" i="21"/>
  <c r="P85" i="21"/>
  <c r="Q85" i="21"/>
  <c r="R85" i="21"/>
  <c r="H86" i="21"/>
  <c r="I86" i="21"/>
  <c r="J86" i="21"/>
  <c r="K86" i="21"/>
  <c r="L86" i="21"/>
  <c r="N86" i="21"/>
  <c r="O86" i="21"/>
  <c r="P86" i="21"/>
  <c r="Q86" i="21"/>
  <c r="R86" i="21"/>
  <c r="H87" i="21"/>
  <c r="I87" i="21"/>
  <c r="J87" i="21"/>
  <c r="K87" i="21"/>
  <c r="L87" i="21"/>
  <c r="N87" i="21"/>
  <c r="O87" i="21"/>
  <c r="P87" i="21"/>
  <c r="Q87" i="21"/>
  <c r="R87" i="21"/>
  <c r="H88" i="21"/>
  <c r="I88" i="21"/>
  <c r="J88" i="21"/>
  <c r="K88" i="21"/>
  <c r="L88" i="21"/>
  <c r="N88" i="21"/>
  <c r="O88" i="21"/>
  <c r="P88" i="21"/>
  <c r="Q88" i="21"/>
  <c r="R88" i="21"/>
  <c r="H89" i="21"/>
  <c r="I89" i="21"/>
  <c r="J89" i="21"/>
  <c r="K89" i="21"/>
  <c r="L89" i="21"/>
  <c r="N89" i="21"/>
  <c r="O89" i="21"/>
  <c r="P89" i="21"/>
  <c r="Q89" i="21"/>
  <c r="R89" i="21"/>
  <c r="H90" i="21"/>
  <c r="I90" i="21"/>
  <c r="J90" i="21"/>
  <c r="K90" i="21"/>
  <c r="L90" i="21"/>
  <c r="N90" i="21"/>
  <c r="O90" i="21"/>
  <c r="P90" i="21"/>
  <c r="Q90" i="21"/>
  <c r="R90" i="21"/>
  <c r="H91" i="21"/>
  <c r="I91" i="21"/>
  <c r="J91" i="21"/>
  <c r="K91" i="21"/>
  <c r="L91" i="21"/>
  <c r="N91" i="21"/>
  <c r="O91" i="21"/>
  <c r="P91" i="21"/>
  <c r="Q91" i="21"/>
  <c r="R91" i="21"/>
  <c r="H92" i="21"/>
  <c r="I92" i="21"/>
  <c r="J92" i="21"/>
  <c r="K92" i="21"/>
  <c r="L92" i="21"/>
  <c r="N92" i="21"/>
  <c r="O92" i="21"/>
  <c r="P92" i="21"/>
  <c r="Q92" i="21"/>
  <c r="R92" i="21"/>
  <c r="H93" i="21"/>
  <c r="I93" i="21"/>
  <c r="J93" i="21"/>
  <c r="K93" i="21"/>
  <c r="L93" i="21"/>
  <c r="N93" i="21"/>
  <c r="O93" i="21"/>
  <c r="P93" i="21"/>
  <c r="Q93" i="21"/>
  <c r="R93" i="21"/>
  <c r="H94" i="21"/>
  <c r="I94" i="21"/>
  <c r="J94" i="21"/>
  <c r="K94" i="21"/>
  <c r="L94" i="21"/>
  <c r="N94" i="21"/>
  <c r="O94" i="21"/>
  <c r="P94" i="21"/>
  <c r="Q94" i="21"/>
  <c r="R94" i="21"/>
  <c r="H95" i="21"/>
  <c r="I95" i="21"/>
  <c r="J95" i="21"/>
  <c r="K95" i="21"/>
  <c r="L95" i="21"/>
  <c r="N95" i="21"/>
  <c r="O95" i="21"/>
  <c r="P95" i="21"/>
  <c r="Q95" i="21"/>
  <c r="R95" i="21"/>
  <c r="H96" i="21"/>
  <c r="I96" i="21"/>
  <c r="J96" i="21"/>
  <c r="K96" i="21"/>
  <c r="L96" i="21"/>
  <c r="N96" i="21"/>
  <c r="O96" i="21"/>
  <c r="P96" i="21"/>
  <c r="Q96" i="21"/>
  <c r="R96" i="21"/>
  <c r="R82" i="21"/>
  <c r="Q82" i="21"/>
  <c r="P82" i="21"/>
  <c r="O82" i="21"/>
  <c r="N82" i="21"/>
  <c r="L82" i="21"/>
  <c r="K82" i="21"/>
  <c r="J82" i="21"/>
  <c r="I82" i="21"/>
  <c r="H82" i="21"/>
  <c r="C83" i="21"/>
  <c r="D83" i="21"/>
  <c r="E83" i="21"/>
  <c r="F83" i="21"/>
  <c r="C84" i="21"/>
  <c r="D84" i="21"/>
  <c r="E84" i="21"/>
  <c r="F84" i="21"/>
  <c r="C85" i="21"/>
  <c r="D85" i="21"/>
  <c r="E85" i="21"/>
  <c r="F85" i="21"/>
  <c r="C86" i="21"/>
  <c r="D86" i="21"/>
  <c r="E86" i="21"/>
  <c r="F86" i="21"/>
  <c r="C87" i="21"/>
  <c r="D87" i="21"/>
  <c r="E87" i="21"/>
  <c r="F87" i="21"/>
  <c r="C88" i="21"/>
  <c r="D88" i="21"/>
  <c r="E88" i="21"/>
  <c r="F88" i="21"/>
  <c r="C89" i="21"/>
  <c r="D89" i="21"/>
  <c r="E89" i="21"/>
  <c r="F89" i="21"/>
  <c r="C90" i="21"/>
  <c r="D90" i="21"/>
  <c r="E90" i="21"/>
  <c r="F90" i="21"/>
  <c r="C91" i="21"/>
  <c r="D91" i="21"/>
  <c r="E91" i="21"/>
  <c r="F91" i="21"/>
  <c r="C92" i="21"/>
  <c r="D92" i="21"/>
  <c r="E92" i="21"/>
  <c r="F92" i="21"/>
  <c r="C93" i="21"/>
  <c r="D93" i="21"/>
  <c r="E93" i="21"/>
  <c r="F93" i="21"/>
  <c r="C94" i="21"/>
  <c r="D94" i="21"/>
  <c r="E94" i="21"/>
  <c r="F94" i="21"/>
  <c r="C95" i="21"/>
  <c r="D95" i="21"/>
  <c r="E95" i="21"/>
  <c r="F95" i="21"/>
  <c r="C96" i="21"/>
  <c r="D96" i="21"/>
  <c r="E96" i="21"/>
  <c r="F96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83" i="21"/>
  <c r="C82" i="21"/>
  <c r="D82" i="21"/>
  <c r="E82" i="21"/>
  <c r="F82" i="21"/>
  <c r="B82" i="21"/>
  <c r="L45" i="21"/>
  <c r="T45" i="21"/>
  <c r="U45" i="21"/>
  <c r="N45" i="21"/>
  <c r="V45" i="21" s="1"/>
  <c r="O45" i="21"/>
  <c r="W45" i="21"/>
  <c r="P45" i="21"/>
  <c r="X45" i="21"/>
  <c r="Q45" i="21"/>
  <c r="Y45" i="21" s="1"/>
  <c r="L46" i="21"/>
  <c r="T46" i="21" s="1"/>
  <c r="U46" i="21"/>
  <c r="N46" i="21"/>
  <c r="V46" i="21" s="1"/>
  <c r="O46" i="21"/>
  <c r="W46" i="21"/>
  <c r="P46" i="21"/>
  <c r="X46" i="21"/>
  <c r="Q46" i="21"/>
  <c r="Y46" i="21"/>
  <c r="L47" i="21"/>
  <c r="T47" i="21" s="1"/>
  <c r="U47" i="21"/>
  <c r="N47" i="21"/>
  <c r="V47" i="21" s="1"/>
  <c r="O47" i="21"/>
  <c r="W47" i="21" s="1"/>
  <c r="P47" i="21"/>
  <c r="X47" i="21"/>
  <c r="Q47" i="21"/>
  <c r="Y47" i="21"/>
  <c r="L48" i="21"/>
  <c r="T48" i="21" s="1"/>
  <c r="U48" i="21"/>
  <c r="N48" i="21"/>
  <c r="V48" i="21"/>
  <c r="O48" i="21"/>
  <c r="W48" i="21" s="1"/>
  <c r="P48" i="21"/>
  <c r="X48" i="21"/>
  <c r="Q48" i="21"/>
  <c r="Y48" i="21"/>
  <c r="L49" i="21"/>
  <c r="T49" i="21"/>
  <c r="U49" i="21"/>
  <c r="N49" i="21"/>
  <c r="V49" i="21"/>
  <c r="O49" i="21"/>
  <c r="W49" i="21" s="1"/>
  <c r="P49" i="21"/>
  <c r="X49" i="21" s="1"/>
  <c r="Q49" i="21"/>
  <c r="Y49" i="21"/>
  <c r="L50" i="21"/>
  <c r="T50" i="21"/>
  <c r="U50" i="21"/>
  <c r="N50" i="21"/>
  <c r="V50" i="21"/>
  <c r="O50" i="21"/>
  <c r="W50" i="21"/>
  <c r="P50" i="21"/>
  <c r="X50" i="21" s="1"/>
  <c r="Q50" i="21"/>
  <c r="Y50" i="21"/>
  <c r="L51" i="21"/>
  <c r="T51" i="21"/>
  <c r="U51" i="21"/>
  <c r="N51" i="21"/>
  <c r="V51" i="21"/>
  <c r="O51" i="21"/>
  <c r="W51" i="21"/>
  <c r="P51" i="21"/>
  <c r="X51" i="21" s="1"/>
  <c r="Q51" i="21"/>
  <c r="Y51" i="21" s="1"/>
  <c r="L52" i="21"/>
  <c r="T52" i="21"/>
  <c r="U52" i="21"/>
  <c r="N52" i="21"/>
  <c r="V52" i="21"/>
  <c r="O52" i="21"/>
  <c r="W52" i="21"/>
  <c r="P52" i="21"/>
  <c r="X52" i="21"/>
  <c r="Q52" i="21"/>
  <c r="Y52" i="21" s="1"/>
  <c r="L53" i="21"/>
  <c r="T53" i="21"/>
  <c r="U53" i="21"/>
  <c r="N53" i="21"/>
  <c r="V53" i="21" s="1"/>
  <c r="O53" i="21"/>
  <c r="W53" i="21"/>
  <c r="P53" i="21"/>
  <c r="X53" i="21"/>
  <c r="Q53" i="21"/>
  <c r="Y53" i="21" s="1"/>
  <c r="L54" i="21"/>
  <c r="T54" i="21" s="1"/>
  <c r="U54" i="21"/>
  <c r="N54" i="21"/>
  <c r="V54" i="21" s="1"/>
  <c r="O54" i="21"/>
  <c r="W54" i="21"/>
  <c r="P54" i="21"/>
  <c r="X54" i="21"/>
  <c r="Q54" i="21"/>
  <c r="Y54" i="21"/>
  <c r="L55" i="21"/>
  <c r="T55" i="21" s="1"/>
  <c r="U55" i="21"/>
  <c r="N55" i="21"/>
  <c r="V55" i="21" s="1"/>
  <c r="O55" i="21"/>
  <c r="W55" i="21" s="1"/>
  <c r="P55" i="21"/>
  <c r="X55" i="21"/>
  <c r="Q55" i="21"/>
  <c r="Y55" i="21"/>
  <c r="L56" i="21"/>
  <c r="T56" i="21" s="1"/>
  <c r="U56" i="21"/>
  <c r="N56" i="21"/>
  <c r="V56" i="21"/>
  <c r="O56" i="21"/>
  <c r="W56" i="21" s="1"/>
  <c r="P56" i="21"/>
  <c r="X56" i="21"/>
  <c r="Q56" i="21"/>
  <c r="Y56" i="21"/>
  <c r="L57" i="21"/>
  <c r="T57" i="21"/>
  <c r="U57" i="21"/>
  <c r="N57" i="21"/>
  <c r="V57" i="21"/>
  <c r="O57" i="21"/>
  <c r="W57" i="21" s="1"/>
  <c r="P57" i="21"/>
  <c r="X57" i="21" s="1"/>
  <c r="Q57" i="21"/>
  <c r="Y57" i="21"/>
  <c r="L58" i="21"/>
  <c r="T58" i="21"/>
  <c r="U58" i="21"/>
  <c r="N58" i="21"/>
  <c r="V58" i="21"/>
  <c r="O58" i="21"/>
  <c r="W58" i="21"/>
  <c r="P58" i="21"/>
  <c r="X58" i="21" s="1"/>
  <c r="Q58" i="21"/>
  <c r="Y58" i="21"/>
  <c r="K46" i="21"/>
  <c r="S46" i="21"/>
  <c r="K47" i="21"/>
  <c r="S47" i="21"/>
  <c r="K48" i="21"/>
  <c r="S48" i="21" s="1"/>
  <c r="K49" i="21"/>
  <c r="S49" i="21"/>
  <c r="K50" i="21"/>
  <c r="S50" i="21"/>
  <c r="K51" i="21"/>
  <c r="S51" i="21"/>
  <c r="K52" i="21"/>
  <c r="S52" i="21" s="1"/>
  <c r="K53" i="21"/>
  <c r="S53" i="21"/>
  <c r="K54" i="21"/>
  <c r="S54" i="21"/>
  <c r="K55" i="21"/>
  <c r="S55" i="21"/>
  <c r="K56" i="21"/>
  <c r="S56" i="21" s="1"/>
  <c r="K57" i="21"/>
  <c r="S57" i="21"/>
  <c r="K58" i="21"/>
  <c r="S58" i="21"/>
  <c r="K45" i="21"/>
  <c r="S45" i="21"/>
  <c r="V4" i="21"/>
  <c r="W4" i="21"/>
  <c r="X4" i="21"/>
  <c r="Y4" i="21"/>
  <c r="L5" i="21"/>
  <c r="T5" i="21"/>
  <c r="M5" i="21"/>
  <c r="U5" i="21"/>
  <c r="N5" i="21"/>
  <c r="V5" i="21" s="1"/>
  <c r="O5" i="21"/>
  <c r="W5" i="21"/>
  <c r="P5" i="21"/>
  <c r="X5" i="21" s="1"/>
  <c r="Q5" i="21"/>
  <c r="Y5" i="21"/>
  <c r="L6" i="21"/>
  <c r="T6" i="21" s="1"/>
  <c r="M6" i="21"/>
  <c r="U6" i="21"/>
  <c r="N6" i="21"/>
  <c r="V6" i="21" s="1"/>
  <c r="O6" i="21"/>
  <c r="W6" i="21"/>
  <c r="P6" i="21"/>
  <c r="X6" i="21" s="1"/>
  <c r="Q6" i="21"/>
  <c r="Y6" i="21"/>
  <c r="L7" i="21"/>
  <c r="T7" i="21"/>
  <c r="M7" i="21"/>
  <c r="U7" i="21"/>
  <c r="N7" i="21"/>
  <c r="V7" i="21" s="1"/>
  <c r="O7" i="21"/>
  <c r="W7" i="21"/>
  <c r="P7" i="21"/>
  <c r="X7" i="21"/>
  <c r="Q7" i="21"/>
  <c r="Y7" i="21"/>
  <c r="L8" i="21"/>
  <c r="T8" i="21" s="1"/>
  <c r="M8" i="21"/>
  <c r="U8" i="21"/>
  <c r="N8" i="21"/>
  <c r="V8" i="21"/>
  <c r="O8" i="21"/>
  <c r="W8" i="21"/>
  <c r="P8" i="21"/>
  <c r="X8" i="21" s="1"/>
  <c r="Q8" i="21"/>
  <c r="Y8" i="21"/>
  <c r="L9" i="21"/>
  <c r="T9" i="21"/>
  <c r="M9" i="21"/>
  <c r="U9" i="21"/>
  <c r="N9" i="21"/>
  <c r="V9" i="21" s="1"/>
  <c r="O9" i="21"/>
  <c r="W9" i="21"/>
  <c r="P9" i="21"/>
  <c r="X9" i="21"/>
  <c r="Q9" i="21"/>
  <c r="Y9" i="21"/>
  <c r="L10" i="21"/>
  <c r="T10" i="21" s="1"/>
  <c r="M10" i="21"/>
  <c r="U10" i="21"/>
  <c r="N10" i="21"/>
  <c r="V10" i="21"/>
  <c r="O10" i="21"/>
  <c r="W10" i="21"/>
  <c r="P10" i="21"/>
  <c r="X10" i="21" s="1"/>
  <c r="Q10" i="21"/>
  <c r="Y10" i="21"/>
  <c r="L11" i="21"/>
  <c r="T11" i="21"/>
  <c r="M11" i="21"/>
  <c r="U11" i="21"/>
  <c r="N11" i="21"/>
  <c r="V11" i="21" s="1"/>
  <c r="O11" i="21"/>
  <c r="W11" i="21"/>
  <c r="P11" i="21"/>
  <c r="X11" i="21"/>
  <c r="Q11" i="21"/>
  <c r="Y11" i="21"/>
  <c r="L12" i="21"/>
  <c r="T12" i="21" s="1"/>
  <c r="M12" i="21"/>
  <c r="U12" i="21"/>
  <c r="N12" i="21"/>
  <c r="V12" i="21"/>
  <c r="O12" i="21"/>
  <c r="W12" i="21"/>
  <c r="P12" i="21"/>
  <c r="X12" i="21" s="1"/>
  <c r="Q12" i="21"/>
  <c r="Y12" i="21"/>
  <c r="L13" i="21"/>
  <c r="T13" i="21"/>
  <c r="M13" i="21"/>
  <c r="U13" i="21"/>
  <c r="N13" i="21"/>
  <c r="V13" i="21" s="1"/>
  <c r="O13" i="21"/>
  <c r="W13" i="21"/>
  <c r="P13" i="21"/>
  <c r="X13" i="21"/>
  <c r="Q13" i="21"/>
  <c r="Y13" i="21"/>
  <c r="L14" i="21"/>
  <c r="T14" i="21" s="1"/>
  <c r="M14" i="21"/>
  <c r="U14" i="21"/>
  <c r="N14" i="21"/>
  <c r="V14" i="21"/>
  <c r="O14" i="21"/>
  <c r="W14" i="21"/>
  <c r="P14" i="21"/>
  <c r="X14" i="21" s="1"/>
  <c r="Q14" i="21"/>
  <c r="Y14" i="21"/>
  <c r="L15" i="21"/>
  <c r="T15" i="21"/>
  <c r="M15" i="21"/>
  <c r="U15" i="21"/>
  <c r="N15" i="21"/>
  <c r="V15" i="21" s="1"/>
  <c r="O15" i="21"/>
  <c r="W15" i="21"/>
  <c r="P15" i="21"/>
  <c r="X15" i="21"/>
  <c r="Q15" i="21"/>
  <c r="Y15" i="21"/>
  <c r="L16" i="21"/>
  <c r="T16" i="21" s="1"/>
  <c r="M16" i="21"/>
  <c r="U16" i="21"/>
  <c r="N16" i="21"/>
  <c r="V16" i="21"/>
  <c r="O16" i="21"/>
  <c r="W16" i="21"/>
  <c r="P16" i="21"/>
  <c r="X16" i="21" s="1"/>
  <c r="Q16" i="21"/>
  <c r="Y16" i="21" s="1"/>
  <c r="L17" i="21"/>
  <c r="T17" i="21"/>
  <c r="M17" i="21"/>
  <c r="U17" i="21"/>
  <c r="N17" i="21"/>
  <c r="V17" i="21" s="1"/>
  <c r="O17" i="21"/>
  <c r="W17" i="21" s="1"/>
  <c r="P17" i="21"/>
  <c r="X17" i="21"/>
  <c r="Q17" i="21"/>
  <c r="Y17" i="21"/>
  <c r="K5" i="21"/>
  <c r="S5" i="21" s="1"/>
  <c r="K6" i="21"/>
  <c r="S6" i="21" s="1"/>
  <c r="K7" i="21"/>
  <c r="S7" i="21"/>
  <c r="K8" i="21"/>
  <c r="S8" i="21"/>
  <c r="K9" i="21"/>
  <c r="S9" i="21" s="1"/>
  <c r="K10" i="21"/>
  <c r="S10" i="21" s="1"/>
  <c r="K11" i="21"/>
  <c r="S11" i="21"/>
  <c r="K12" i="21"/>
  <c r="S12" i="21"/>
  <c r="K13" i="21"/>
  <c r="S13" i="21" s="1"/>
  <c r="K14" i="21"/>
  <c r="S14" i="21" s="1"/>
  <c r="K15" i="21"/>
  <c r="S15" i="21" s="1"/>
  <c r="K16" i="21"/>
  <c r="S16" i="21"/>
  <c r="K17" i="21"/>
  <c r="S17" i="21" s="1"/>
  <c r="B81" i="16"/>
  <c r="K100" i="16" s="1"/>
  <c r="E18" i="19"/>
  <c r="E19" i="19"/>
  <c r="J19" i="19"/>
  <c r="N14" i="19"/>
  <c r="E18" i="18"/>
  <c r="M14" i="18"/>
  <c r="N14" i="18"/>
  <c r="P25" i="21"/>
  <c r="X25" i="21" s="1"/>
  <c r="Q25" i="21"/>
  <c r="Y25" i="21" s="1"/>
  <c r="P26" i="21"/>
  <c r="X26" i="21"/>
  <c r="Q26" i="21"/>
  <c r="Y26" i="21"/>
  <c r="P27" i="21"/>
  <c r="X27" i="21" s="1"/>
  <c r="Q27" i="21"/>
  <c r="Y27" i="21" s="1"/>
  <c r="P28" i="21"/>
  <c r="X28" i="21"/>
  <c r="Q28" i="21"/>
  <c r="Y28" i="21"/>
  <c r="P29" i="21"/>
  <c r="X29" i="21" s="1"/>
  <c r="Q29" i="21"/>
  <c r="Y29" i="21" s="1"/>
  <c r="P30" i="21"/>
  <c r="X30" i="21"/>
  <c r="Q30" i="21"/>
  <c r="Y30" i="21"/>
  <c r="P31" i="21"/>
  <c r="X31" i="21" s="1"/>
  <c r="Q31" i="21"/>
  <c r="Y31" i="21" s="1"/>
  <c r="P32" i="21"/>
  <c r="X32" i="21"/>
  <c r="Q32" i="21"/>
  <c r="Y32" i="21"/>
  <c r="P33" i="21"/>
  <c r="X33" i="21" s="1"/>
  <c r="Q33" i="21"/>
  <c r="Y33" i="21" s="1"/>
  <c r="P34" i="21"/>
  <c r="X34" i="21"/>
  <c r="Q34" i="21"/>
  <c r="Y34" i="21"/>
  <c r="P35" i="21"/>
  <c r="X35" i="21" s="1"/>
  <c r="Q35" i="21"/>
  <c r="Y35" i="21" s="1"/>
  <c r="P36" i="21"/>
  <c r="X36" i="21"/>
  <c r="Q36" i="21"/>
  <c r="Y36" i="21"/>
  <c r="P37" i="21"/>
  <c r="X37" i="21" s="1"/>
  <c r="Q37" i="21"/>
  <c r="Y37" i="21" s="1"/>
  <c r="P38" i="21"/>
  <c r="X38" i="21"/>
  <c r="Q38" i="21"/>
  <c r="Y38" i="21"/>
  <c r="O25" i="21"/>
  <c r="W25" i="21" s="1"/>
  <c r="O26" i="21"/>
  <c r="W26" i="21" s="1"/>
  <c r="O27" i="21"/>
  <c r="W27" i="21"/>
  <c r="O28" i="21"/>
  <c r="W28" i="21"/>
  <c r="O29" i="21"/>
  <c r="W29" i="21" s="1"/>
  <c r="O30" i="21"/>
  <c r="W30" i="21" s="1"/>
  <c r="O31" i="21"/>
  <c r="W31" i="21"/>
  <c r="O32" i="21"/>
  <c r="W32" i="21"/>
  <c r="O33" i="21"/>
  <c r="W33" i="21" s="1"/>
  <c r="O34" i="21"/>
  <c r="W34" i="21" s="1"/>
  <c r="O35" i="21"/>
  <c r="W35" i="21"/>
  <c r="O36" i="21"/>
  <c r="W36" i="21"/>
  <c r="O37" i="21"/>
  <c r="W37" i="21" s="1"/>
  <c r="O38" i="21"/>
  <c r="W38" i="21" s="1"/>
  <c r="N25" i="21"/>
  <c r="V25" i="21"/>
  <c r="N26" i="21"/>
  <c r="V26" i="21"/>
  <c r="N27" i="21"/>
  <c r="V27" i="21" s="1"/>
  <c r="N28" i="21"/>
  <c r="V28" i="21" s="1"/>
  <c r="N29" i="21"/>
  <c r="V29" i="21"/>
  <c r="N30" i="21"/>
  <c r="V30" i="21"/>
  <c r="N31" i="21"/>
  <c r="V31" i="21" s="1"/>
  <c r="N32" i="21"/>
  <c r="V32" i="21" s="1"/>
  <c r="N33" i="21"/>
  <c r="V33" i="21"/>
  <c r="N34" i="21"/>
  <c r="V34" i="21"/>
  <c r="N35" i="21"/>
  <c r="V35" i="21" s="1"/>
  <c r="N36" i="21"/>
  <c r="V36" i="21" s="1"/>
  <c r="N37" i="21"/>
  <c r="V37" i="21"/>
  <c r="N38" i="21"/>
  <c r="V38" i="21"/>
  <c r="U25" i="21"/>
  <c r="U26" i="21"/>
  <c r="U27" i="21"/>
  <c r="U28" i="21"/>
  <c r="U29" i="21"/>
  <c r="U30" i="21"/>
  <c r="U31" i="21"/>
  <c r="U33" i="21"/>
  <c r="U34" i="21"/>
  <c r="U35" i="21"/>
  <c r="U36" i="21"/>
  <c r="U37" i="21"/>
  <c r="U38" i="21"/>
  <c r="L25" i="21"/>
  <c r="T25" i="21"/>
  <c r="L26" i="21"/>
  <c r="T26" i="21" s="1"/>
  <c r="L27" i="21"/>
  <c r="T27" i="21" s="1"/>
  <c r="L28" i="21"/>
  <c r="T28" i="21"/>
  <c r="L29" i="21"/>
  <c r="T29" i="21"/>
  <c r="L30" i="21"/>
  <c r="T30" i="21" s="1"/>
  <c r="L31" i="21"/>
  <c r="T31" i="21" s="1"/>
  <c r="L32" i="21"/>
  <c r="T32" i="21"/>
  <c r="L33" i="21"/>
  <c r="T33" i="21"/>
  <c r="L34" i="21"/>
  <c r="T34" i="21" s="1"/>
  <c r="L35" i="21"/>
  <c r="T35" i="21" s="1"/>
  <c r="L36" i="21"/>
  <c r="T36" i="21"/>
  <c r="L37" i="21"/>
  <c r="T37" i="21"/>
  <c r="L38" i="21"/>
  <c r="T38" i="21" s="1"/>
  <c r="K25" i="21"/>
  <c r="S25" i="21" s="1"/>
  <c r="K26" i="21"/>
  <c r="S26" i="21"/>
  <c r="K27" i="21"/>
  <c r="S27" i="21"/>
  <c r="K28" i="21"/>
  <c r="S28" i="21" s="1"/>
  <c r="K29" i="21"/>
  <c r="S29" i="21" s="1"/>
  <c r="K30" i="21"/>
  <c r="S30" i="21"/>
  <c r="K31" i="21"/>
  <c r="S31" i="21"/>
  <c r="K32" i="21"/>
  <c r="S32" i="21" s="1"/>
  <c r="K33" i="21"/>
  <c r="S33" i="21" s="1"/>
  <c r="K34" i="21"/>
  <c r="S34" i="21"/>
  <c r="K35" i="21"/>
  <c r="S35" i="21"/>
  <c r="K36" i="21"/>
  <c r="S36" i="21" s="1"/>
  <c r="K37" i="21"/>
  <c r="S37" i="21" s="1"/>
  <c r="K38" i="21"/>
  <c r="S38" i="21"/>
  <c r="J14" i="20"/>
  <c r="L14" i="20"/>
  <c r="M14" i="20"/>
  <c r="K14" i="20"/>
  <c r="E19" i="20"/>
  <c r="I19" i="20"/>
  <c r="J19" i="20"/>
  <c r="D19" i="20"/>
  <c r="J21" i="12"/>
  <c r="I19" i="19" s="1"/>
  <c r="H21" i="12"/>
  <c r="G26" i="12"/>
  <c r="F19" i="20" s="1"/>
  <c r="H26" i="12"/>
  <c r="G19" i="20" s="1"/>
  <c r="I26" i="12"/>
  <c r="H19" i="20" s="1"/>
  <c r="F26" i="12"/>
  <c r="I21" i="12"/>
  <c r="H19" i="19" s="1"/>
  <c r="G21" i="12"/>
  <c r="F19" i="19" s="1"/>
  <c r="L18" i="20"/>
  <c r="Q34" i="2"/>
  <c r="M18" i="20" s="1"/>
  <c r="P34" i="2"/>
  <c r="O34" i="2"/>
  <c r="K18" i="20" s="1"/>
  <c r="G34" i="2"/>
  <c r="C18" i="20" s="1"/>
  <c r="F34" i="2"/>
  <c r="B18" i="20" s="1"/>
  <c r="H26" i="2"/>
  <c r="D18" i="19" s="1"/>
  <c r="H31" i="2"/>
  <c r="H34" i="2" s="1"/>
  <c r="D18" i="20" s="1"/>
  <c r="D31" i="2"/>
  <c r="G31" i="2"/>
  <c r="F31" i="2"/>
  <c r="J23" i="2"/>
  <c r="F23" i="2"/>
  <c r="F26" i="2" s="1"/>
  <c r="B18" i="19" s="1"/>
  <c r="D32" i="2"/>
  <c r="D24" i="2"/>
  <c r="I23" i="2"/>
  <c r="I26" i="2" s="1"/>
  <c r="H23" i="2"/>
  <c r="G23" i="2"/>
  <c r="G26" i="2" s="1"/>
  <c r="C18" i="19" s="1"/>
  <c r="B5" i="20"/>
  <c r="B5" i="19"/>
  <c r="D26" i="12"/>
  <c r="D23" i="2"/>
  <c r="E4" i="11"/>
  <c r="D4" i="11"/>
  <c r="C4" i="11"/>
  <c r="J16" i="12"/>
  <c r="I19" i="18" s="1"/>
  <c r="F16" i="12"/>
  <c r="E19" i="18" s="1"/>
  <c r="I16" i="12"/>
  <c r="H19" i="18" s="1"/>
  <c r="H16" i="12"/>
  <c r="G19" i="18" s="1"/>
  <c r="G16" i="12"/>
  <c r="F19" i="18" s="1"/>
  <c r="D12" i="2"/>
  <c r="D11" i="2"/>
  <c r="G11" i="2"/>
  <c r="C18" i="18" s="1"/>
  <c r="H11" i="2"/>
  <c r="D18" i="18" s="1"/>
  <c r="I11" i="2"/>
  <c r="F11" i="2"/>
  <c r="B18" i="18" s="1"/>
  <c r="AB80" i="4"/>
  <c r="AB81" i="4" s="1"/>
  <c r="AC80" i="4"/>
  <c r="AD80" i="4"/>
  <c r="AD81" i="4"/>
  <c r="AC81" i="4"/>
  <c r="V80" i="4"/>
  <c r="V81" i="4"/>
  <c r="W80" i="4"/>
  <c r="W81" i="4" s="1"/>
  <c r="X80" i="4"/>
  <c r="Y80" i="4"/>
  <c r="Z80" i="4"/>
  <c r="Z81" i="4"/>
  <c r="X81" i="4"/>
  <c r="Y81" i="4"/>
  <c r="S80" i="4"/>
  <c r="S81" i="4" s="1"/>
  <c r="T80" i="4"/>
  <c r="T81" i="4" s="1"/>
  <c r="B5" i="18"/>
  <c r="L20" i="13"/>
  <c r="N20" i="13"/>
  <c r="O20" i="13"/>
  <c r="M20" i="13"/>
  <c r="K20" i="13"/>
  <c r="J20" i="13"/>
  <c r="C20" i="13" s="1"/>
  <c r="I20" i="13"/>
  <c r="H20" i="13"/>
  <c r="N18" i="13"/>
  <c r="M18" i="13"/>
  <c r="O18" i="13"/>
  <c r="L18" i="13"/>
  <c r="K18" i="13"/>
  <c r="I18" i="13"/>
  <c r="C18" i="13" s="1"/>
  <c r="H18" i="13"/>
  <c r="J18" i="13"/>
  <c r="O17" i="13"/>
  <c r="N17" i="13"/>
  <c r="M17" i="13"/>
  <c r="L17" i="13"/>
  <c r="K17" i="13"/>
  <c r="J17" i="13"/>
  <c r="I17" i="13"/>
  <c r="H17" i="13"/>
  <c r="M16" i="13"/>
  <c r="L16" i="13"/>
  <c r="J16" i="13"/>
  <c r="N16" i="13"/>
  <c r="I16" i="13"/>
  <c r="Q10" i="13"/>
  <c r="G19" i="13"/>
  <c r="I27" i="13"/>
  <c r="J27" i="13"/>
  <c r="K27" i="13"/>
  <c r="K31" i="13" s="1"/>
  <c r="I8" i="20" s="1"/>
  <c r="L27" i="13"/>
  <c r="H27" i="13"/>
  <c r="G27" i="13"/>
  <c r="J30" i="13"/>
  <c r="I30" i="13"/>
  <c r="K28" i="13"/>
  <c r="L28" i="13"/>
  <c r="J28" i="13"/>
  <c r="I28" i="13"/>
  <c r="G28" i="13"/>
  <c r="H28" i="13"/>
  <c r="A25" i="13"/>
  <c r="E25" i="13"/>
  <c r="N8" i="13"/>
  <c r="M8" i="13"/>
  <c r="J8" i="13"/>
  <c r="I8" i="13"/>
  <c r="A30" i="13"/>
  <c r="K30" i="13"/>
  <c r="A26" i="13"/>
  <c r="I26" i="13" s="1"/>
  <c r="I31" i="13" s="1"/>
  <c r="G8" i="20" s="1"/>
  <c r="K26" i="13"/>
  <c r="D25" i="13"/>
  <c r="D31" i="13" s="1"/>
  <c r="B8" i="20" s="1"/>
  <c r="B20" i="20" s="1"/>
  <c r="B32" i="15" s="1"/>
  <c r="F25" i="13"/>
  <c r="C25" i="13" s="1"/>
  <c r="A16" i="13"/>
  <c r="O16" i="13" s="1"/>
  <c r="O21" i="13" s="1"/>
  <c r="M19" i="13"/>
  <c r="N19" i="13"/>
  <c r="N21" i="13" s="1"/>
  <c r="L8" i="19" s="1"/>
  <c r="O19" i="13"/>
  <c r="K19" i="13"/>
  <c r="J19" i="13"/>
  <c r="I19" i="13"/>
  <c r="H19" i="13"/>
  <c r="J29" i="13"/>
  <c r="I29" i="13"/>
  <c r="K29" i="13"/>
  <c r="L29" i="13"/>
  <c r="H29" i="13"/>
  <c r="A15" i="13"/>
  <c r="G15" i="13" s="1"/>
  <c r="G21" i="13" s="1"/>
  <c r="G29" i="13"/>
  <c r="C29" i="13" s="1"/>
  <c r="F29" i="13"/>
  <c r="E29" i="13"/>
  <c r="D29" i="13"/>
  <c r="L19" i="13"/>
  <c r="F19" i="13"/>
  <c r="E19" i="13"/>
  <c r="D19" i="13"/>
  <c r="K8" i="13"/>
  <c r="L8" i="13"/>
  <c r="H8" i="13"/>
  <c r="G8" i="13"/>
  <c r="F8" i="13"/>
  <c r="E8" i="13"/>
  <c r="D8" i="13"/>
  <c r="L5" i="13"/>
  <c r="I5" i="13"/>
  <c r="A5" i="13"/>
  <c r="N5" i="13" s="1"/>
  <c r="A4" i="13"/>
  <c r="E4" i="13" s="1"/>
  <c r="E10" i="13" s="1"/>
  <c r="C8" i="18" s="1"/>
  <c r="A6" i="13"/>
  <c r="N6" i="13" s="1"/>
  <c r="A9" i="13"/>
  <c r="M9" i="13" s="1"/>
  <c r="K9" i="13"/>
  <c r="I9" i="13"/>
  <c r="H9" i="13"/>
  <c r="M31" i="13"/>
  <c r="K8" i="20" s="1"/>
  <c r="N31" i="13"/>
  <c r="L8" i="20" s="1"/>
  <c r="O31" i="13"/>
  <c r="P31" i="13"/>
  <c r="N8" i="20" s="1"/>
  <c r="Q31" i="13"/>
  <c r="O8" i="20" s="1"/>
  <c r="P21" i="13"/>
  <c r="N8" i="19" s="1"/>
  <c r="Q21" i="13"/>
  <c r="O10" i="13"/>
  <c r="P10" i="13"/>
  <c r="N8" i="18" s="1"/>
  <c r="H7" i="13"/>
  <c r="M7" i="13"/>
  <c r="L7" i="13"/>
  <c r="I7" i="13"/>
  <c r="C7" i="13" s="1"/>
  <c r="K7" i="13"/>
  <c r="N7" i="13"/>
  <c r="J7" i="13"/>
  <c r="D16" i="12"/>
  <c r="M21" i="13"/>
  <c r="K8" i="19" s="1"/>
  <c r="L21" i="13"/>
  <c r="J8" i="19" s="1"/>
  <c r="I21" i="13"/>
  <c r="G8" i="19" s="1"/>
  <c r="I6" i="13"/>
  <c r="K6" i="13"/>
  <c r="J6" i="13"/>
  <c r="L6" i="13"/>
  <c r="L26" i="13"/>
  <c r="L31" i="13" s="1"/>
  <c r="J8" i="20" s="1"/>
  <c r="M6" i="13"/>
  <c r="D15" i="13"/>
  <c r="G30" i="13"/>
  <c r="L30" i="13"/>
  <c r="G26" i="13"/>
  <c r="J26" i="13"/>
  <c r="J31" i="13" s="1"/>
  <c r="H8" i="20" s="1"/>
  <c r="H6" i="13"/>
  <c r="E15" i="13"/>
  <c r="E21" i="13"/>
  <c r="C8" i="19" s="1"/>
  <c r="H30" i="13"/>
  <c r="C30" i="13" s="1"/>
  <c r="H26" i="13"/>
  <c r="E31" i="13"/>
  <c r="C8" i="20" s="1"/>
  <c r="A31" i="13"/>
  <c r="C19" i="13"/>
  <c r="F31" i="13"/>
  <c r="D8" i="20" s="1"/>
  <c r="F15" i="13"/>
  <c r="F21" i="13" s="1"/>
  <c r="D8" i="19" s="1"/>
  <c r="A21" i="13"/>
  <c r="D21" i="13"/>
  <c r="B8" i="19" s="1"/>
  <c r="B20" i="19" s="1"/>
  <c r="B18" i="15" s="1"/>
  <c r="C18" i="15" s="1"/>
  <c r="A10" i="13"/>
  <c r="J9" i="13"/>
  <c r="N9" i="13"/>
  <c r="C6" i="13"/>
  <c r="C27" i="13"/>
  <c r="C28" i="13"/>
  <c r="D17" i="14"/>
  <c r="D13" i="14"/>
  <c r="D14" i="14"/>
  <c r="D15" i="14"/>
  <c r="D16" i="14"/>
  <c r="D12" i="14"/>
  <c r="B13" i="14"/>
  <c r="B15" i="14"/>
  <c r="P30" i="14"/>
  <c r="J30" i="14"/>
  <c r="I30" i="14"/>
  <c r="C31" i="14"/>
  <c r="C33" i="14"/>
  <c r="C35" i="14"/>
  <c r="D31" i="14"/>
  <c r="D32" i="14"/>
  <c r="D33" i="14"/>
  <c r="D34" i="14"/>
  <c r="D30" i="14"/>
  <c r="BR7" i="14"/>
  <c r="BX7" i="14"/>
  <c r="BY7" i="14"/>
  <c r="CE7" i="14"/>
  <c r="CF7" i="14"/>
  <c r="CM7" i="14"/>
  <c r="CT7" i="14"/>
  <c r="DA7" i="14"/>
  <c r="DA5" i="14" s="1"/>
  <c r="DB7" i="14"/>
  <c r="DB5" i="14" s="1"/>
  <c r="DH7" i="14"/>
  <c r="DI7" i="14"/>
  <c r="BU8" i="14"/>
  <c r="BV8" i="14"/>
  <c r="CC8" i="14"/>
  <c r="CD8" i="14"/>
  <c r="CK8" i="14"/>
  <c r="CL8" i="14"/>
  <c r="CS8" i="14"/>
  <c r="CT8" i="14"/>
  <c r="CT5" i="14" s="1"/>
  <c r="DA8" i="14"/>
  <c r="DB8" i="14"/>
  <c r="DI8" i="14"/>
  <c r="DJ8" i="14"/>
  <c r="BR10" i="14"/>
  <c r="BS10" i="14"/>
  <c r="BT10" i="14"/>
  <c r="BU10" i="14"/>
  <c r="BV10" i="14"/>
  <c r="BW10" i="14"/>
  <c r="BX10" i="14"/>
  <c r="BY10" i="14"/>
  <c r="BZ10" i="14"/>
  <c r="CA10" i="14"/>
  <c r="CB10" i="14"/>
  <c r="CC10" i="14"/>
  <c r="CD10" i="14"/>
  <c r="CE10" i="14"/>
  <c r="CF10" i="14"/>
  <c r="CG10" i="14"/>
  <c r="CH10" i="14"/>
  <c r="CI10" i="14"/>
  <c r="CJ10" i="14"/>
  <c r="CK10" i="14"/>
  <c r="CL10" i="14"/>
  <c r="CM10" i="14"/>
  <c r="CN10" i="14"/>
  <c r="CO10" i="14"/>
  <c r="CP10" i="14"/>
  <c r="CQ10" i="14"/>
  <c r="CR10" i="14"/>
  <c r="CS10" i="14"/>
  <c r="CT10" i="14"/>
  <c r="CU10" i="14"/>
  <c r="CV10" i="14"/>
  <c r="CW10" i="14"/>
  <c r="CX10" i="14"/>
  <c r="CY10" i="14"/>
  <c r="CZ10" i="14"/>
  <c r="DA10" i="14"/>
  <c r="DB10" i="14"/>
  <c r="DC10" i="14"/>
  <c r="DD10" i="14"/>
  <c r="DE10" i="14"/>
  <c r="DF10" i="14"/>
  <c r="DG10" i="14"/>
  <c r="DH10" i="14"/>
  <c r="DI10" i="14"/>
  <c r="DJ10" i="14"/>
  <c r="DK10" i="14"/>
  <c r="BR20" i="14"/>
  <c r="BS20" i="14"/>
  <c r="BT20" i="14"/>
  <c r="BU20" i="14"/>
  <c r="BV20" i="14"/>
  <c r="BW20" i="14"/>
  <c r="BX20" i="14"/>
  <c r="BY20" i="14"/>
  <c r="BZ20" i="14"/>
  <c r="CA20" i="14"/>
  <c r="CB20" i="14"/>
  <c r="CC20" i="14"/>
  <c r="CD20" i="14"/>
  <c r="CE20" i="14"/>
  <c r="CF20" i="14"/>
  <c r="CG20" i="14"/>
  <c r="CH20" i="14"/>
  <c r="CI20" i="14"/>
  <c r="CJ20" i="14"/>
  <c r="CK20" i="14"/>
  <c r="CL20" i="14"/>
  <c r="CM20" i="14"/>
  <c r="CN20" i="14"/>
  <c r="CO20" i="14"/>
  <c r="CP20" i="14"/>
  <c r="CQ20" i="14"/>
  <c r="CR20" i="14"/>
  <c r="CS20" i="14"/>
  <c r="CT20" i="14"/>
  <c r="CU20" i="14"/>
  <c r="CV20" i="14"/>
  <c r="CW20" i="14"/>
  <c r="CX20" i="14"/>
  <c r="CY20" i="14"/>
  <c r="CZ20" i="14"/>
  <c r="DA20" i="14"/>
  <c r="DB20" i="14"/>
  <c r="DC20" i="14"/>
  <c r="DD20" i="14"/>
  <c r="DE20" i="14"/>
  <c r="DF20" i="14"/>
  <c r="DG20" i="14"/>
  <c r="DH20" i="14"/>
  <c r="DI20" i="14"/>
  <c r="DJ20" i="14"/>
  <c r="DK20" i="14"/>
  <c r="BR37" i="14"/>
  <c r="BR28" i="14"/>
  <c r="BV37" i="14"/>
  <c r="BV28" i="14"/>
  <c r="BZ37" i="14"/>
  <c r="BZ28" i="14"/>
  <c r="CD37" i="14"/>
  <c r="CD28" i="14" s="1"/>
  <c r="CE37" i="14"/>
  <c r="CE28" i="14" s="1"/>
  <c r="CI37" i="14"/>
  <c r="CI28" i="14" s="1"/>
  <c r="CM37" i="14"/>
  <c r="CM28" i="14" s="1"/>
  <c r="CQ37" i="14"/>
  <c r="CQ28" i="14" s="1"/>
  <c r="CU37" i="14"/>
  <c r="CU28" i="14" s="1"/>
  <c r="CY37" i="14"/>
  <c r="CY28" i="14" s="1"/>
  <c r="DC37" i="14"/>
  <c r="DC28" i="14" s="1"/>
  <c r="DG37" i="14"/>
  <c r="DG28" i="14" s="1"/>
  <c r="DK37" i="14"/>
  <c r="DK28" i="14" s="1"/>
  <c r="B6" i="2"/>
  <c r="B13" i="2" s="1"/>
  <c r="I33" i="2" s="1"/>
  <c r="DI5" i="14"/>
  <c r="BH20" i="14"/>
  <c r="BJ20" i="14"/>
  <c r="BK20" i="14"/>
  <c r="BL20" i="14"/>
  <c r="BN20" i="14"/>
  <c r="BO20" i="14"/>
  <c r="BP20" i="14"/>
  <c r="BI20" i="14"/>
  <c r="BM20" i="14"/>
  <c r="BQ20" i="14"/>
  <c r="BK37" i="14"/>
  <c r="BO37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AM10" i="14"/>
  <c r="AN10" i="14"/>
  <c r="AO10" i="14"/>
  <c r="AP10" i="14"/>
  <c r="AQ10" i="14"/>
  <c r="AR10" i="14"/>
  <c r="AS10" i="14"/>
  <c r="AT10" i="14"/>
  <c r="AU10" i="14"/>
  <c r="AV10" i="14"/>
  <c r="AW10" i="14"/>
  <c r="AX10" i="14"/>
  <c r="AY10" i="14"/>
  <c r="AZ10" i="14"/>
  <c r="BA10" i="14"/>
  <c r="BB10" i="14"/>
  <c r="BC10" i="14"/>
  <c r="BD10" i="14"/>
  <c r="BE10" i="14"/>
  <c r="BF10" i="14"/>
  <c r="BG10" i="14"/>
  <c r="BH10" i="14"/>
  <c r="BI10" i="14"/>
  <c r="BJ10" i="14"/>
  <c r="BK10" i="14"/>
  <c r="BL10" i="14"/>
  <c r="BM10" i="14"/>
  <c r="BN10" i="14"/>
  <c r="BO10" i="14"/>
  <c r="BP10" i="14"/>
  <c r="BQ10" i="14"/>
  <c r="A35" i="14"/>
  <c r="B35" i="14"/>
  <c r="L34" i="14"/>
  <c r="H5" i="14"/>
  <c r="I5" i="14"/>
  <c r="J5" i="14"/>
  <c r="K5" i="14"/>
  <c r="L5" i="14"/>
  <c r="M5" i="14"/>
  <c r="N5" i="14"/>
  <c r="O5" i="14"/>
  <c r="P5" i="14"/>
  <c r="Q5" i="14"/>
  <c r="R5" i="14"/>
  <c r="T8" i="14"/>
  <c r="AA8" i="14"/>
  <c r="AB8" i="14"/>
  <c r="AI8" i="14"/>
  <c r="AJ8" i="14"/>
  <c r="AQ8" i="14"/>
  <c r="AR8" i="14"/>
  <c r="AT8" i="14"/>
  <c r="AY8" i="14"/>
  <c r="AZ8" i="14"/>
  <c r="BB8" i="14"/>
  <c r="BG8" i="14"/>
  <c r="BH8" i="14"/>
  <c r="BJ8" i="14"/>
  <c r="BO8" i="14"/>
  <c r="BP8" i="14"/>
  <c r="S8" i="14"/>
  <c r="B6" i="17"/>
  <c r="BW8" i="14" s="1"/>
  <c r="M16" i="14"/>
  <c r="L16" i="14"/>
  <c r="K16" i="14"/>
  <c r="C16" i="14" s="1"/>
  <c r="J16" i="14"/>
  <c r="B16" i="14" s="1"/>
  <c r="I16" i="14"/>
  <c r="H16" i="14"/>
  <c r="W7" i="14"/>
  <c r="X7" i="14"/>
  <c r="AE7" i="14"/>
  <c r="AF7" i="14"/>
  <c r="AM7" i="14"/>
  <c r="AN7" i="14"/>
  <c r="AU7" i="14"/>
  <c r="AV7" i="14"/>
  <c r="AX7" i="14"/>
  <c r="BC7" i="14"/>
  <c r="BD7" i="14"/>
  <c r="BF7" i="14"/>
  <c r="BK7" i="14"/>
  <c r="BL7" i="14"/>
  <c r="BN7" i="14"/>
  <c r="A17" i="14"/>
  <c r="B17" i="14"/>
  <c r="G16" i="6"/>
  <c r="BT7" i="14" s="1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S22" i="14"/>
  <c r="A16" i="14"/>
  <c r="E16" i="14" s="1"/>
  <c r="AW22" i="14"/>
  <c r="AX22" i="14"/>
  <c r="AY22" i="14"/>
  <c r="G30" i="14"/>
  <c r="A13" i="14"/>
  <c r="K12" i="14"/>
  <c r="C12" i="14" s="1"/>
  <c r="J12" i="14"/>
  <c r="B12" i="14" s="1"/>
  <c r="I12" i="14"/>
  <c r="H12" i="14"/>
  <c r="G12" i="14"/>
  <c r="C6" i="2"/>
  <c r="G32" i="14"/>
  <c r="L32" i="14" s="1"/>
  <c r="G17" i="14"/>
  <c r="G15" i="14"/>
  <c r="G14" i="14"/>
  <c r="AE80" i="4"/>
  <c r="AE81" i="4" s="1"/>
  <c r="U80" i="4"/>
  <c r="U81" i="4" s="1"/>
  <c r="K5" i="9"/>
  <c r="K13" i="9"/>
  <c r="K3" i="9"/>
  <c r="K11" i="9"/>
  <c r="K2" i="9"/>
  <c r="K10" i="9"/>
  <c r="K8" i="9"/>
  <c r="O13" i="14"/>
  <c r="L13" i="14"/>
  <c r="P13" i="14"/>
  <c r="M13" i="14"/>
  <c r="Q13" i="14"/>
  <c r="N13" i="14"/>
  <c r="R13" i="14"/>
  <c r="G22" i="14"/>
  <c r="A31" i="14"/>
  <c r="E31" i="14" s="1"/>
  <c r="B31" i="14"/>
  <c r="A32" i="14"/>
  <c r="B32" i="14"/>
  <c r="A34" i="14"/>
  <c r="B34" i="14"/>
  <c r="H30" i="14"/>
  <c r="S10" i="14"/>
  <c r="A15" i="14"/>
  <c r="A13" i="10"/>
  <c r="B30" i="14"/>
  <c r="A10" i="11"/>
  <c r="A9" i="11"/>
  <c r="A8" i="11"/>
  <c r="A7" i="11"/>
  <c r="A6" i="11"/>
  <c r="A5" i="11"/>
  <c r="A3" i="11"/>
  <c r="Q27" i="9"/>
  <c r="R30" i="9" s="1"/>
  <c r="X95" i="4"/>
  <c r="X96" i="4" s="1"/>
  <c r="X93" i="4"/>
  <c r="X94" i="4" s="1"/>
  <c r="X92" i="4"/>
  <c r="AA80" i="4"/>
  <c r="AA81" i="4" s="1"/>
  <c r="S84" i="4" s="1"/>
  <c r="S34" i="4"/>
  <c r="S35" i="4" s="1"/>
  <c r="B4" i="2"/>
  <c r="L8" i="9"/>
  <c r="L2" i="9"/>
  <c r="L5" i="9"/>
  <c r="L13" i="9"/>
  <c r="L3" i="9"/>
  <c r="L11" i="9"/>
  <c r="L10" i="9"/>
  <c r="N17" i="14"/>
  <c r="C17" i="14" s="1"/>
  <c r="E17" i="14" s="1"/>
  <c r="L17" i="14"/>
  <c r="R17" i="14"/>
  <c r="K17" i="14"/>
  <c r="M17" i="14"/>
  <c r="O17" i="14"/>
  <c r="Q17" i="14"/>
  <c r="P17" i="14"/>
  <c r="O15" i="14"/>
  <c r="O10" i="14" s="1"/>
  <c r="Q15" i="14"/>
  <c r="R15" i="14"/>
  <c r="P15" i="14"/>
  <c r="K15" i="14"/>
  <c r="N15" i="14"/>
  <c r="L15" i="14"/>
  <c r="M15" i="14"/>
  <c r="M10" i="14" s="1"/>
  <c r="R10" i="14"/>
  <c r="L10" i="14"/>
  <c r="Q10" i="14"/>
  <c r="A12" i="14"/>
  <c r="E12" i="14"/>
  <c r="BK42" i="14" l="1"/>
  <c r="BK28" i="14"/>
  <c r="BK43" i="14"/>
  <c r="BK41" i="14"/>
  <c r="BK40" i="14"/>
  <c r="A30" i="14"/>
  <c r="BZ3" i="14"/>
  <c r="I14" i="14"/>
  <c r="I10" i="14" s="1"/>
  <c r="K14" i="14"/>
  <c r="H14" i="14"/>
  <c r="J14" i="14"/>
  <c r="R31" i="9"/>
  <c r="Q28" i="9"/>
  <c r="P10" i="14"/>
  <c r="G13" i="14"/>
  <c r="G10" i="14" s="1"/>
  <c r="C13" i="14"/>
  <c r="I34" i="2"/>
  <c r="E18" i="20" s="1"/>
  <c r="C9" i="11"/>
  <c r="E9" i="11"/>
  <c r="D9" i="11"/>
  <c r="BO42" i="14"/>
  <c r="BO40" i="14"/>
  <c r="BO43" i="14"/>
  <c r="D10" i="14"/>
  <c r="E10" i="11"/>
  <c r="D10" i="11"/>
  <c r="C10" i="11"/>
  <c r="E3" i="11"/>
  <c r="C3" i="11"/>
  <c r="D3" i="11"/>
  <c r="O30" i="14"/>
  <c r="M8" i="19"/>
  <c r="B45" i="16" s="1"/>
  <c r="C8" i="13"/>
  <c r="N10" i="14"/>
  <c r="E5" i="11"/>
  <c r="D5" i="11"/>
  <c r="C5" i="11"/>
  <c r="BO41" i="14"/>
  <c r="BV3" i="14"/>
  <c r="N10" i="13"/>
  <c r="L8" i="18" s="1"/>
  <c r="K13" i="2"/>
  <c r="G18" i="18" s="1"/>
  <c r="C15" i="14"/>
  <c r="E15" i="14" s="1"/>
  <c r="E6" i="11"/>
  <c r="D6" i="11"/>
  <c r="C6" i="11"/>
  <c r="N32" i="14"/>
  <c r="O32" i="14"/>
  <c r="C26" i="13"/>
  <c r="C31" i="13" s="1"/>
  <c r="G31" i="13"/>
  <c r="I10" i="13"/>
  <c r="G8" i="18" s="1"/>
  <c r="C32" i="15"/>
  <c r="E7" i="11"/>
  <c r="D7" i="11"/>
  <c r="C7" i="11"/>
  <c r="M32" i="14"/>
  <c r="C32" i="14" s="1"/>
  <c r="E32" i="14" s="1"/>
  <c r="CI3" i="14"/>
  <c r="E8" i="11"/>
  <c r="D8" i="11"/>
  <c r="C8" i="11"/>
  <c r="E22" i="14"/>
  <c r="BO28" i="14"/>
  <c r="BO3" i="14" s="1"/>
  <c r="L13" i="2"/>
  <c r="H18" i="18" s="1"/>
  <c r="N25" i="2"/>
  <c r="N26" i="2" s="1"/>
  <c r="J18" i="19" s="1"/>
  <c r="M13" i="2"/>
  <c r="I18" i="18" s="1"/>
  <c r="M25" i="2"/>
  <c r="M26" i="2" s="1"/>
  <c r="I18" i="19" s="1"/>
  <c r="N33" i="2"/>
  <c r="N34" i="2" s="1"/>
  <c r="J18" i="20" s="1"/>
  <c r="K25" i="2"/>
  <c r="K26" i="2" s="1"/>
  <c r="G18" i="19" s="1"/>
  <c r="O13" i="2"/>
  <c r="K18" i="18" s="1"/>
  <c r="M33" i="2"/>
  <c r="M34" i="2" s="1"/>
  <c r="I18" i="20" s="1"/>
  <c r="P13" i="2"/>
  <c r="L18" i="18" s="1"/>
  <c r="L33" i="2"/>
  <c r="L34" i="2" s="1"/>
  <c r="H18" i="20" s="1"/>
  <c r="B78" i="16" s="1"/>
  <c r="Q25" i="2"/>
  <c r="Q26" i="2" s="1"/>
  <c r="M18" i="19" s="1"/>
  <c r="K33" i="2"/>
  <c r="K34" i="2" s="1"/>
  <c r="G18" i="20" s="1"/>
  <c r="L25" i="2"/>
  <c r="L26" i="2" s="1"/>
  <c r="H18" i="19" s="1"/>
  <c r="J33" i="2"/>
  <c r="J34" i="2" s="1"/>
  <c r="F18" i="20" s="1"/>
  <c r="J25" i="2"/>
  <c r="P25" i="2"/>
  <c r="P26" i="2" s="1"/>
  <c r="L18" i="19" s="1"/>
  <c r="O25" i="2"/>
  <c r="O26" i="2" s="1"/>
  <c r="K18" i="19" s="1"/>
  <c r="N13" i="2"/>
  <c r="J18" i="18" s="1"/>
  <c r="Q30" i="14"/>
  <c r="R30" i="14"/>
  <c r="K30" i="14"/>
  <c r="J13" i="2"/>
  <c r="L30" i="14"/>
  <c r="M30" i="14"/>
  <c r="N30" i="14"/>
  <c r="H31" i="13"/>
  <c r="F8" i="20" s="1"/>
  <c r="J21" i="13"/>
  <c r="H8" i="19" s="1"/>
  <c r="C17" i="13"/>
  <c r="S7" i="14"/>
  <c r="BJ7" i="14"/>
  <c r="BJ5" i="14" s="1"/>
  <c r="BB7" i="14"/>
  <c r="BB5" i="14" s="1"/>
  <c r="AT7" i="14"/>
  <c r="AT5" i="14" s="1"/>
  <c r="AL7" i="14"/>
  <c r="AD7" i="14"/>
  <c r="V7" i="14"/>
  <c r="BN8" i="14"/>
  <c r="BN5" i="14" s="1"/>
  <c r="BF8" i="14"/>
  <c r="BF5" i="14" s="1"/>
  <c r="AX8" i="14"/>
  <c r="AX5" i="14" s="1"/>
  <c r="AP8" i="14"/>
  <c r="AH8" i="14"/>
  <c r="Z8" i="14"/>
  <c r="DJ37" i="14"/>
  <c r="DJ28" i="14" s="1"/>
  <c r="DF37" i="14"/>
  <c r="DF28" i="14" s="1"/>
  <c r="DB37" i="14"/>
  <c r="DB28" i="14" s="1"/>
  <c r="DB3" i="14" s="1"/>
  <c r="CX37" i="14"/>
  <c r="CX28" i="14" s="1"/>
  <c r="CT37" i="14"/>
  <c r="CT28" i="14" s="1"/>
  <c r="CT3" i="14" s="1"/>
  <c r="CP37" i="14"/>
  <c r="CP28" i="14" s="1"/>
  <c r="CL37" i="14"/>
  <c r="CL28" i="14" s="1"/>
  <c r="CL3" i="14" s="1"/>
  <c r="CH37" i="14"/>
  <c r="CH28" i="14" s="1"/>
  <c r="DH8" i="14"/>
  <c r="DH5" i="14" s="1"/>
  <c r="CZ8" i="14"/>
  <c r="CR8" i="14"/>
  <c r="CJ8" i="14"/>
  <c r="CB8" i="14"/>
  <c r="BT8" i="14"/>
  <c r="BT5" i="14" s="1"/>
  <c r="DG7" i="14"/>
  <c r="DG5" i="14" s="1"/>
  <c r="DG3" i="14" s="1"/>
  <c r="CZ7" i="14"/>
  <c r="CZ5" i="14" s="1"/>
  <c r="CS7" i="14"/>
  <c r="CS5" i="14" s="1"/>
  <c r="CL7" i="14"/>
  <c r="CL5" i="14" s="1"/>
  <c r="BW7" i="14"/>
  <c r="BW5" i="14" s="1"/>
  <c r="C15" i="13"/>
  <c r="B9" i="19"/>
  <c r="B25" i="19" s="1"/>
  <c r="G4" i="13"/>
  <c r="G10" i="13" s="1"/>
  <c r="M5" i="13"/>
  <c r="M10" i="13" s="1"/>
  <c r="K8" i="18" s="1"/>
  <c r="B9" i="16" s="1"/>
  <c r="G19" i="19"/>
  <c r="D21" i="12"/>
  <c r="F64" i="22"/>
  <c r="V135" i="4"/>
  <c r="U135" i="4"/>
  <c r="BQ7" i="14"/>
  <c r="BI7" i="14"/>
  <c r="BA7" i="14"/>
  <c r="AS7" i="14"/>
  <c r="AK7" i="14"/>
  <c r="AK5" i="14" s="1"/>
  <c r="AC7" i="14"/>
  <c r="U7" i="14"/>
  <c r="BM8" i="14"/>
  <c r="BE8" i="14"/>
  <c r="AW8" i="14"/>
  <c r="AO8" i="14"/>
  <c r="AG8" i="14"/>
  <c r="Y8" i="14"/>
  <c r="BN37" i="14"/>
  <c r="BJ37" i="14"/>
  <c r="CC37" i="14"/>
  <c r="CC28" i="14" s="1"/>
  <c r="BY37" i="14"/>
  <c r="BY28" i="14" s="1"/>
  <c r="BU37" i="14"/>
  <c r="BU28" i="14" s="1"/>
  <c r="DG8" i="14"/>
  <c r="CY8" i="14"/>
  <c r="CQ8" i="14"/>
  <c r="CI8" i="14"/>
  <c r="CA8" i="14"/>
  <c r="BS8" i="14"/>
  <c r="DF7" i="14"/>
  <c r="CY7" i="14"/>
  <c r="CY5" i="14" s="1"/>
  <c r="CY3" i="14" s="1"/>
  <c r="CR7" i="14"/>
  <c r="CR5" i="14" s="1"/>
  <c r="CK7" i="14"/>
  <c r="CK5" i="14" s="1"/>
  <c r="CD7" i="14"/>
  <c r="CD5" i="14" s="1"/>
  <c r="CD3" i="14" s="1"/>
  <c r="K5" i="13"/>
  <c r="K10" i="13" s="1"/>
  <c r="I8" i="18" s="1"/>
  <c r="J26" i="2"/>
  <c r="F18" i="19" s="1"/>
  <c r="M15" i="20"/>
  <c r="BP7" i="14"/>
  <c r="BP5" i="14" s="1"/>
  <c r="BH7" i="14"/>
  <c r="BH5" i="14" s="1"/>
  <c r="AZ7" i="14"/>
  <c r="AZ5" i="14" s="1"/>
  <c r="AR7" i="14"/>
  <c r="AR5" i="14" s="1"/>
  <c r="AJ7" i="14"/>
  <c r="AJ5" i="14" s="1"/>
  <c r="AB7" i="14"/>
  <c r="AB5" i="14" s="1"/>
  <c r="T7" i="14"/>
  <c r="T5" i="14" s="1"/>
  <c r="BL8" i="14"/>
  <c r="BL5" i="14" s="1"/>
  <c r="BD8" i="14"/>
  <c r="BD5" i="14" s="1"/>
  <c r="AV8" i="14"/>
  <c r="AV5" i="14" s="1"/>
  <c r="AN8" i="14"/>
  <c r="AN5" i="14" s="1"/>
  <c r="AF8" i="14"/>
  <c r="AF5" i="14" s="1"/>
  <c r="X8" i="14"/>
  <c r="X5" i="14" s="1"/>
  <c r="DI37" i="14"/>
  <c r="DI28" i="14" s="1"/>
  <c r="DI3" i="14" s="1"/>
  <c r="DE37" i="14"/>
  <c r="DE28" i="14" s="1"/>
  <c r="DA37" i="14"/>
  <c r="DA28" i="14" s="1"/>
  <c r="DA3" i="14" s="1"/>
  <c r="CW37" i="14"/>
  <c r="CW28" i="14" s="1"/>
  <c r="CS37" i="14"/>
  <c r="CS28" i="14" s="1"/>
  <c r="CS3" i="14" s="1"/>
  <c r="CO37" i="14"/>
  <c r="CO28" i="14" s="1"/>
  <c r="CK37" i="14"/>
  <c r="CK28" i="14" s="1"/>
  <c r="CK3" i="14" s="1"/>
  <c r="CG37" i="14"/>
  <c r="CG28" i="14" s="1"/>
  <c r="DF8" i="14"/>
  <c r="CX8" i="14"/>
  <c r="CP8" i="14"/>
  <c r="CH8" i="14"/>
  <c r="BZ8" i="14"/>
  <c r="BR8" i="14"/>
  <c r="BR5" i="14" s="1"/>
  <c r="BR3" i="14" s="1"/>
  <c r="DE7" i="14"/>
  <c r="CX7" i="14"/>
  <c r="CQ7" i="14"/>
  <c r="CJ7" i="14"/>
  <c r="CJ5" i="14" s="1"/>
  <c r="CC7" i="14"/>
  <c r="CC5" i="14" s="1"/>
  <c r="BV7" i="14"/>
  <c r="BV5" i="14" s="1"/>
  <c r="K101" i="16"/>
  <c r="G98" i="16"/>
  <c r="V167" i="4"/>
  <c r="U167" i="4"/>
  <c r="BO7" i="14"/>
  <c r="BO5" i="14" s="1"/>
  <c r="BG7" i="14"/>
  <c r="BG5" i="14" s="1"/>
  <c r="AY7" i="14"/>
  <c r="AY5" i="14" s="1"/>
  <c r="AQ7" i="14"/>
  <c r="AQ5" i="14" s="1"/>
  <c r="AI7" i="14"/>
  <c r="AI5" i="14" s="1"/>
  <c r="AA7" i="14"/>
  <c r="AA5" i="14" s="1"/>
  <c r="BK8" i="14"/>
  <c r="BK5" i="14" s="1"/>
  <c r="BC8" i="14"/>
  <c r="BC5" i="14" s="1"/>
  <c r="AU8" i="14"/>
  <c r="AU5" i="14" s="1"/>
  <c r="AM8" i="14"/>
  <c r="AM5" i="14" s="1"/>
  <c r="AE8" i="14"/>
  <c r="AE5" i="14" s="1"/>
  <c r="W8" i="14"/>
  <c r="W5" i="14" s="1"/>
  <c r="BQ37" i="14"/>
  <c r="BM37" i="14"/>
  <c r="BI37" i="14"/>
  <c r="CB37" i="14"/>
  <c r="CB28" i="14" s="1"/>
  <c r="BX37" i="14"/>
  <c r="BX28" i="14" s="1"/>
  <c r="BT37" i="14"/>
  <c r="BT28" i="14" s="1"/>
  <c r="DE8" i="14"/>
  <c r="CW8" i="14"/>
  <c r="CO8" i="14"/>
  <c r="CG8" i="14"/>
  <c r="BY8" i="14"/>
  <c r="BY5" i="14" s="1"/>
  <c r="DK7" i="14"/>
  <c r="DD7" i="14"/>
  <c r="DD5" i="14" s="1"/>
  <c r="CW7" i="14"/>
  <c r="CW5" i="14" s="1"/>
  <c r="CP7" i="14"/>
  <c r="CI7" i="14"/>
  <c r="CI5" i="14" s="1"/>
  <c r="CB7" i="14"/>
  <c r="CB5" i="14" s="1"/>
  <c r="BU7" i="14"/>
  <c r="BU5" i="14" s="1"/>
  <c r="D4" i="13"/>
  <c r="H5" i="13"/>
  <c r="K16" i="13"/>
  <c r="K21" i="13" s="1"/>
  <c r="I8" i="19" s="1"/>
  <c r="V117" i="4"/>
  <c r="U117" i="4"/>
  <c r="F46" i="22"/>
  <c r="AP7" i="14"/>
  <c r="AP5" i="14" s="1"/>
  <c r="AH7" i="14"/>
  <c r="Z7" i="14"/>
  <c r="Z5" i="14" s="1"/>
  <c r="AL8" i="14"/>
  <c r="AD8" i="14"/>
  <c r="V8" i="14"/>
  <c r="B33" i="2"/>
  <c r="B25" i="2"/>
  <c r="DH37" i="14"/>
  <c r="DH28" i="14" s="1"/>
  <c r="DD37" i="14"/>
  <c r="DD28" i="14" s="1"/>
  <c r="DD3" i="14" s="1"/>
  <c r="CZ37" i="14"/>
  <c r="CZ28" i="14" s="1"/>
  <c r="CZ3" i="14" s="1"/>
  <c r="CV37" i="14"/>
  <c r="CV28" i="14" s="1"/>
  <c r="CR37" i="14"/>
  <c r="CR28" i="14" s="1"/>
  <c r="CR3" i="14" s="1"/>
  <c r="CN37" i="14"/>
  <c r="CN28" i="14" s="1"/>
  <c r="CJ37" i="14"/>
  <c r="CJ28" i="14" s="1"/>
  <c r="CJ3" i="14" s="1"/>
  <c r="CF37" i="14"/>
  <c r="CF28" i="14" s="1"/>
  <c r="DD8" i="14"/>
  <c r="CV8" i="14"/>
  <c r="CN8" i="14"/>
  <c r="CF8" i="14"/>
  <c r="CF5" i="14" s="1"/>
  <c r="BX8" i="14"/>
  <c r="BX5" i="14" s="1"/>
  <c r="DC7" i="14"/>
  <c r="CV7" i="14"/>
  <c r="CV5" i="14" s="1"/>
  <c r="CO7" i="14"/>
  <c r="CH7" i="14"/>
  <c r="CH5" i="14" s="1"/>
  <c r="CA7" i="14"/>
  <c r="CA5" i="14" s="1"/>
  <c r="O8" i="19"/>
  <c r="P8" i="19"/>
  <c r="P8" i="18"/>
  <c r="O8" i="18"/>
  <c r="V139" i="4"/>
  <c r="F68" i="22"/>
  <c r="U139" i="4"/>
  <c r="F24" i="22"/>
  <c r="U95" i="4"/>
  <c r="V95" i="4"/>
  <c r="J8" i="21"/>
  <c r="P15" i="20"/>
  <c r="P25" i="20" s="1"/>
  <c r="Q15" i="18"/>
  <c r="R15" i="19"/>
  <c r="R25" i="19" s="1"/>
  <c r="Q15" i="19"/>
  <c r="R15" i="18"/>
  <c r="R25" i="18" s="1"/>
  <c r="N15" i="19"/>
  <c r="N15" i="20"/>
  <c r="N15" i="18"/>
  <c r="O15" i="20"/>
  <c r="M15" i="19"/>
  <c r="K15" i="20"/>
  <c r="O15" i="19"/>
  <c r="L15" i="18"/>
  <c r="P15" i="18"/>
  <c r="J15" i="20"/>
  <c r="O15" i="18"/>
  <c r="P15" i="19"/>
  <c r="M15" i="18"/>
  <c r="L15" i="20"/>
  <c r="BM7" i="14"/>
  <c r="BM5" i="14" s="1"/>
  <c r="BE7" i="14"/>
  <c r="BE5" i="14" s="1"/>
  <c r="AW7" i="14"/>
  <c r="AW5" i="14" s="1"/>
  <c r="AO7" i="14"/>
  <c r="AO5" i="14" s="1"/>
  <c r="AG7" i="14"/>
  <c r="AG5" i="14" s="1"/>
  <c r="Y7" i="14"/>
  <c r="Y5" i="14" s="1"/>
  <c r="BQ8" i="14"/>
  <c r="BI8" i="14"/>
  <c r="BA8" i="14"/>
  <c r="AS8" i="14"/>
  <c r="AK8" i="14"/>
  <c r="AC8" i="14"/>
  <c r="U8" i="14"/>
  <c r="G8" i="14" s="1"/>
  <c r="D8" i="14" s="1"/>
  <c r="E8" i="14" s="1"/>
  <c r="BP37" i="14"/>
  <c r="BL37" i="14"/>
  <c r="BH37" i="14"/>
  <c r="CA37" i="14"/>
  <c r="CA28" i="14" s="1"/>
  <c r="CA3" i="14" s="1"/>
  <c r="BW37" i="14"/>
  <c r="BW28" i="14" s="1"/>
  <c r="BW3" i="14" s="1"/>
  <c r="BS37" i="14"/>
  <c r="BS28" i="14" s="1"/>
  <c r="DK8" i="14"/>
  <c r="DC8" i="14"/>
  <c r="CU8" i="14"/>
  <c r="CM8" i="14"/>
  <c r="CM5" i="14" s="1"/>
  <c r="CM3" i="14" s="1"/>
  <c r="CE8" i="14"/>
  <c r="CE5" i="14" s="1"/>
  <c r="CE3" i="14" s="1"/>
  <c r="DJ7" i="14"/>
  <c r="DJ5" i="14" s="1"/>
  <c r="CU7" i="14"/>
  <c r="CN7" i="14"/>
  <c r="CN5" i="14" s="1"/>
  <c r="CG7" i="14"/>
  <c r="CG5" i="14" s="1"/>
  <c r="BZ7" i="14"/>
  <c r="BZ5" i="14" s="1"/>
  <c r="BS7" i="14"/>
  <c r="BS5" i="14" s="1"/>
  <c r="F4" i="13"/>
  <c r="F10" i="13" s="1"/>
  <c r="D8" i="18" s="1"/>
  <c r="L9" i="13"/>
  <c r="C9" i="13" s="1"/>
  <c r="J5" i="13"/>
  <c r="J10" i="13" s="1"/>
  <c r="H8" i="18" s="1"/>
  <c r="H16" i="13"/>
  <c r="F80" i="22"/>
  <c r="U151" i="4"/>
  <c r="V151" i="4"/>
  <c r="V145" i="4"/>
  <c r="F74" i="22"/>
  <c r="U145" i="4"/>
  <c r="U171" i="4"/>
  <c r="V171" i="4"/>
  <c r="V163" i="4"/>
  <c r="U163" i="4"/>
  <c r="V157" i="4"/>
  <c r="U157" i="4"/>
  <c r="J17" i="21"/>
  <c r="V131" i="4"/>
  <c r="F60" i="22"/>
  <c r="U131" i="4"/>
  <c r="F56" i="22"/>
  <c r="V127" i="4"/>
  <c r="U175" i="4"/>
  <c r="V175" i="4"/>
  <c r="V169" i="4"/>
  <c r="U169" i="4"/>
  <c r="F72" i="22"/>
  <c r="V143" i="4"/>
  <c r="U143" i="4"/>
  <c r="V137" i="4"/>
  <c r="F66" i="22"/>
  <c r="U137" i="4"/>
  <c r="V104" i="4"/>
  <c r="U104" i="4"/>
  <c r="F33" i="22"/>
  <c r="V90" i="4"/>
  <c r="F19" i="22"/>
  <c r="V155" i="4"/>
  <c r="U155" i="4"/>
  <c r="V149" i="4"/>
  <c r="F78" i="22"/>
  <c r="U149" i="4"/>
  <c r="J12" i="21"/>
  <c r="V99" i="4"/>
  <c r="X99" i="4"/>
  <c r="F28" i="22"/>
  <c r="V161" i="4"/>
  <c r="U161" i="4"/>
  <c r="V129" i="4"/>
  <c r="F58" i="22"/>
  <c r="U129" i="4"/>
  <c r="F48" i="22"/>
  <c r="V119" i="4"/>
  <c r="V173" i="4"/>
  <c r="U173" i="4"/>
  <c r="V147" i="4"/>
  <c r="F76" i="22"/>
  <c r="U147" i="4"/>
  <c r="V141" i="4"/>
  <c r="J19" i="21"/>
  <c r="F70" i="22"/>
  <c r="U141" i="4"/>
  <c r="V125" i="4"/>
  <c r="U125" i="4"/>
  <c r="F54" i="22"/>
  <c r="V159" i="4"/>
  <c r="U159" i="4"/>
  <c r="V153" i="4"/>
  <c r="U153" i="4"/>
  <c r="F40" i="22"/>
  <c r="U111" i="4"/>
  <c r="V111" i="4"/>
  <c r="V165" i="4"/>
  <c r="U165" i="4"/>
  <c r="V133" i="4"/>
  <c r="F62" i="22"/>
  <c r="U133" i="4"/>
  <c r="V121" i="4"/>
  <c r="F50" i="22"/>
  <c r="U121" i="4"/>
  <c r="V106" i="4"/>
  <c r="F35" i="22"/>
  <c r="U106" i="4"/>
  <c r="V174" i="4"/>
  <c r="U174" i="4"/>
  <c r="U170" i="4"/>
  <c r="V170" i="4"/>
  <c r="V166" i="4"/>
  <c r="U166" i="4"/>
  <c r="V162" i="4"/>
  <c r="U162" i="4"/>
  <c r="V158" i="4"/>
  <c r="U158" i="4"/>
  <c r="V154" i="4"/>
  <c r="U154" i="4"/>
  <c r="V150" i="4"/>
  <c r="U150" i="4"/>
  <c r="F79" i="22"/>
  <c r="F75" i="22"/>
  <c r="U146" i="4"/>
  <c r="V142" i="4"/>
  <c r="J20" i="21"/>
  <c r="U142" i="4"/>
  <c r="F71" i="22"/>
  <c r="F67" i="22"/>
  <c r="U138" i="4"/>
  <c r="V138" i="4"/>
  <c r="V134" i="4"/>
  <c r="U134" i="4"/>
  <c r="V130" i="4"/>
  <c r="F59" i="22"/>
  <c r="U130" i="4"/>
  <c r="V110" i="4"/>
  <c r="F39" i="22"/>
  <c r="U110" i="4"/>
  <c r="F32" i="22"/>
  <c r="V103" i="4"/>
  <c r="U103" i="4"/>
  <c r="V98" i="4"/>
  <c r="J11" i="21"/>
  <c r="U98" i="4"/>
  <c r="AC94" i="4"/>
  <c r="AB94" i="4"/>
  <c r="S94" i="4"/>
  <c r="V109" i="4"/>
  <c r="F38" i="22"/>
  <c r="U109" i="4"/>
  <c r="AB102" i="4"/>
  <c r="AC102" i="4"/>
  <c r="S102" i="4"/>
  <c r="M8" i="20" s="1"/>
  <c r="V93" i="4"/>
  <c r="U93" i="4"/>
  <c r="F22" i="22"/>
  <c r="J6" i="21"/>
  <c r="V113" i="4"/>
  <c r="F42" i="22"/>
  <c r="V97" i="4"/>
  <c r="J10" i="21"/>
  <c r="F26" i="22"/>
  <c r="V108" i="4"/>
  <c r="V92" i="4"/>
  <c r="F21" i="22"/>
  <c r="J5" i="21"/>
  <c r="V146" i="4"/>
  <c r="V172" i="4"/>
  <c r="U172" i="4"/>
  <c r="V168" i="4"/>
  <c r="U168" i="4"/>
  <c r="V164" i="4"/>
  <c r="U164" i="4"/>
  <c r="V160" i="4"/>
  <c r="U160" i="4"/>
  <c r="V156" i="4"/>
  <c r="U156" i="4"/>
  <c r="V152" i="4"/>
  <c r="U152" i="4"/>
  <c r="F81" i="22"/>
  <c r="V148" i="4"/>
  <c r="F77" i="22"/>
  <c r="U148" i="4"/>
  <c r="V144" i="4"/>
  <c r="U144" i="4"/>
  <c r="V140" i="4"/>
  <c r="F69" i="22"/>
  <c r="U140" i="4"/>
  <c r="V136" i="4"/>
  <c r="U136" i="4"/>
  <c r="V132" i="4"/>
  <c r="J18" i="21"/>
  <c r="U132" i="4"/>
  <c r="F61" i="22"/>
  <c r="V123" i="4"/>
  <c r="F52" i="22"/>
  <c r="V115" i="4"/>
  <c r="F44" i="22"/>
  <c r="V112" i="4"/>
  <c r="F41" i="22"/>
  <c r="U112" i="4"/>
  <c r="V96" i="4"/>
  <c r="J9" i="21"/>
  <c r="F25" i="22"/>
  <c r="U96" i="4"/>
  <c r="V100" i="4"/>
  <c r="F29" i="22"/>
  <c r="U100" i="4"/>
  <c r="J13" i="21"/>
  <c r="V91" i="4"/>
  <c r="F20" i="22"/>
  <c r="U91" i="4"/>
  <c r="J4" i="21"/>
  <c r="F73" i="22"/>
  <c r="U101" i="4"/>
  <c r="F53" i="22"/>
  <c r="F17" i="22"/>
  <c r="J14" i="21"/>
  <c r="F43" i="22"/>
  <c r="F34" i="22"/>
  <c r="U128" i="4"/>
  <c r="U126" i="4"/>
  <c r="U124" i="4"/>
  <c r="U122" i="4"/>
  <c r="U120" i="4"/>
  <c r="U118" i="4"/>
  <c r="U116" i="4"/>
  <c r="U105" i="4"/>
  <c r="F51" i="22"/>
  <c r="O16" i="22"/>
  <c r="U87" i="4"/>
  <c r="V107" i="4"/>
  <c r="F49" i="22"/>
  <c r="F30" i="22"/>
  <c r="F57" i="22"/>
  <c r="F47" i="22"/>
  <c r="K12" i="24"/>
  <c r="L12" i="24" s="1"/>
  <c r="D49" i="24"/>
  <c r="E49" i="24"/>
  <c r="D51" i="27"/>
  <c r="G49" i="24"/>
  <c r="H21" i="20" l="1"/>
  <c r="K87" i="16"/>
  <c r="K21" i="19"/>
  <c r="K64" i="16"/>
  <c r="P35" i="20"/>
  <c r="P46" i="20"/>
  <c r="P36" i="20"/>
  <c r="P37" i="20"/>
  <c r="P38" i="20"/>
  <c r="P42" i="20"/>
  <c r="P32" i="20"/>
  <c r="P43" i="20"/>
  <c r="P44" i="20"/>
  <c r="P45" i="20"/>
  <c r="P33" i="20"/>
  <c r="P34" i="20"/>
  <c r="B44" i="19"/>
  <c r="B42" i="19"/>
  <c r="B45" i="19"/>
  <c r="B43" i="19"/>
  <c r="B46" i="19"/>
  <c r="B36" i="19"/>
  <c r="B32" i="19"/>
  <c r="B37" i="19"/>
  <c r="B33" i="19"/>
  <c r="B34" i="19"/>
  <c r="B35" i="19"/>
  <c r="B38" i="19"/>
  <c r="DC5" i="14"/>
  <c r="DC3" i="14" s="1"/>
  <c r="CN3" i="14"/>
  <c r="AS5" i="14"/>
  <c r="CP3" i="14"/>
  <c r="D25" i="2"/>
  <c r="E13" i="14"/>
  <c r="BP28" i="14"/>
  <c r="BP3" i="14" s="1"/>
  <c r="BP43" i="14"/>
  <c r="BP40" i="14"/>
  <c r="BP41" i="14"/>
  <c r="BP42" i="14"/>
  <c r="BQ28" i="14"/>
  <c r="BQ43" i="14"/>
  <c r="BQ41" i="14"/>
  <c r="BQ42" i="14"/>
  <c r="BQ40" i="14"/>
  <c r="B9" i="20"/>
  <c r="B25" i="20" s="1"/>
  <c r="CP5" i="14"/>
  <c r="CW3" i="14"/>
  <c r="BA5" i="14"/>
  <c r="F18" i="18"/>
  <c r="D13" i="2"/>
  <c r="E8" i="20"/>
  <c r="V94" i="4"/>
  <c r="F23" i="22"/>
  <c r="U94" i="4"/>
  <c r="J7" i="21"/>
  <c r="BS3" i="14"/>
  <c r="CV3" i="14"/>
  <c r="BT3" i="14"/>
  <c r="BU3" i="14"/>
  <c r="BI5" i="14"/>
  <c r="K28" i="16"/>
  <c r="K21" i="18"/>
  <c r="Q34" i="14"/>
  <c r="G7" i="14"/>
  <c r="S5" i="14"/>
  <c r="C30" i="14"/>
  <c r="W107" i="4"/>
  <c r="H21" i="13"/>
  <c r="F8" i="19" s="1"/>
  <c r="C16" i="13"/>
  <c r="C21" i="13" s="1"/>
  <c r="CU5" i="14"/>
  <c r="CU3" i="14" s="1"/>
  <c r="R35" i="18"/>
  <c r="R42" i="18"/>
  <c r="R46" i="18"/>
  <c r="R32" i="18"/>
  <c r="R36" i="18"/>
  <c r="R43" i="18"/>
  <c r="R33" i="18"/>
  <c r="R37" i="18"/>
  <c r="R44" i="18"/>
  <c r="R45" i="18"/>
  <c r="R34" i="18"/>
  <c r="R38" i="18"/>
  <c r="H10" i="13"/>
  <c r="F8" i="18" s="1"/>
  <c r="C5" i="13"/>
  <c r="BX3" i="14"/>
  <c r="DF5" i="14"/>
  <c r="DF3" i="14" s="1"/>
  <c r="BY3" i="14"/>
  <c r="BQ5" i="14"/>
  <c r="E8" i="18"/>
  <c r="E20" i="18" s="1"/>
  <c r="B7" i="15" s="1"/>
  <c r="C7" i="15" s="1"/>
  <c r="D7" i="15" s="1"/>
  <c r="B14" i="14"/>
  <c r="B10" i="14" s="1"/>
  <c r="J10" i="14"/>
  <c r="E30" i="14"/>
  <c r="BK3" i="14"/>
  <c r="I98" i="16"/>
  <c r="H98" i="16" s="1"/>
  <c r="C81" i="16" s="1"/>
  <c r="AH5" i="14"/>
  <c r="C4" i="13"/>
  <c r="C10" i="13" s="1"/>
  <c r="D10" i="13"/>
  <c r="B8" i="18" s="1"/>
  <c r="B20" i="18" s="1"/>
  <c r="DK5" i="14"/>
  <c r="DK3" i="14" s="1"/>
  <c r="CB3" i="14"/>
  <c r="CQ5" i="14"/>
  <c r="CQ3" i="14" s="1"/>
  <c r="CC3" i="14"/>
  <c r="V5" i="14"/>
  <c r="B42" i="16"/>
  <c r="L10" i="13"/>
  <c r="J8" i="18" s="1"/>
  <c r="B6" i="16" s="1"/>
  <c r="A14" i="14"/>
  <c r="H10" i="14"/>
  <c r="V102" i="4"/>
  <c r="U102" i="4"/>
  <c r="F31" i="22"/>
  <c r="X102" i="4"/>
  <c r="J15" i="21"/>
  <c r="M10" i="9"/>
  <c r="M13" i="9"/>
  <c r="M5" i="9"/>
  <c r="M8" i="9"/>
  <c r="M11" i="9"/>
  <c r="M2" i="9"/>
  <c r="W106" i="4"/>
  <c r="M3" i="9"/>
  <c r="P3" i="1"/>
  <c r="P4" i="1" s="1"/>
  <c r="BH42" i="14"/>
  <c r="BH28" i="14"/>
  <c r="BH3" i="14" s="1"/>
  <c r="BH43" i="14"/>
  <c r="BH40" i="14"/>
  <c r="BH41" i="14"/>
  <c r="R32" i="19"/>
  <c r="R34" i="19"/>
  <c r="R36" i="19"/>
  <c r="R38" i="19"/>
  <c r="R43" i="19"/>
  <c r="R45" i="19"/>
  <c r="R37" i="19"/>
  <c r="R42" i="19"/>
  <c r="R33" i="19"/>
  <c r="R44" i="19"/>
  <c r="R46" i="19"/>
  <c r="R35" i="19"/>
  <c r="DH3" i="14"/>
  <c r="M8" i="18"/>
  <c r="BI28" i="14"/>
  <c r="BI3" i="14" s="1"/>
  <c r="BI41" i="14"/>
  <c r="BI42" i="14"/>
  <c r="BI40" i="14"/>
  <c r="BI43" i="14"/>
  <c r="CX5" i="14"/>
  <c r="CX3" i="14" s="1"/>
  <c r="CG3" i="14"/>
  <c r="BJ43" i="14"/>
  <c r="BJ42" i="14"/>
  <c r="BJ28" i="14"/>
  <c r="BJ3" i="14" s="1"/>
  <c r="BJ40" i="14"/>
  <c r="BJ41" i="14"/>
  <c r="U5" i="14"/>
  <c r="DJ3" i="14"/>
  <c r="AD5" i="14"/>
  <c r="E8" i="19"/>
  <c r="E20" i="19" s="1"/>
  <c r="B21" i="15" s="1"/>
  <c r="C21" i="15" s="1"/>
  <c r="D21" i="15" s="1"/>
  <c r="C14" i="14"/>
  <c r="C10" i="14" s="1"/>
  <c r="K10" i="14"/>
  <c r="B28" i="19"/>
  <c r="C5" i="19" s="1"/>
  <c r="BL42" i="14"/>
  <c r="BL28" i="14"/>
  <c r="BL3" i="14" s="1"/>
  <c r="BL41" i="14"/>
  <c r="BL40" i="14"/>
  <c r="BL43" i="14"/>
  <c r="CO5" i="14"/>
  <c r="CO3" i="14" s="1"/>
  <c r="CF3" i="14"/>
  <c r="BM28" i="14"/>
  <c r="BM3" i="14" s="1"/>
  <c r="BM43" i="14"/>
  <c r="BM41" i="14"/>
  <c r="BM40" i="14"/>
  <c r="BM42" i="14"/>
  <c r="DE5" i="14"/>
  <c r="DE3" i="14" s="1"/>
  <c r="BN28" i="14"/>
  <c r="BN3" i="14" s="1"/>
  <c r="BN40" i="14"/>
  <c r="BN42" i="14"/>
  <c r="BN41" i="14"/>
  <c r="BN43" i="14"/>
  <c r="AC5" i="14"/>
  <c r="CH3" i="14"/>
  <c r="AL5" i="14"/>
  <c r="D33" i="2"/>
  <c r="Q30" i="9"/>
  <c r="Q31" i="9"/>
  <c r="K15" i="16" l="1"/>
  <c r="H21" i="18"/>
  <c r="N34" i="14"/>
  <c r="B4" i="15"/>
  <c r="G5" i="14"/>
  <c r="D7" i="14"/>
  <c r="K51" i="16"/>
  <c r="H21" i="19"/>
  <c r="B44" i="20"/>
  <c r="B45" i="20"/>
  <c r="B42" i="20"/>
  <c r="B46" i="20"/>
  <c r="B33" i="20"/>
  <c r="B38" i="20"/>
  <c r="B37" i="20"/>
  <c r="B43" i="20"/>
  <c r="B36" i="20"/>
  <c r="B35" i="20"/>
  <c r="B34" i="20"/>
  <c r="B32" i="20"/>
  <c r="B28" i="20"/>
  <c r="C5" i="20" s="1"/>
  <c r="G62" i="16"/>
  <c r="K65" i="16"/>
  <c r="G26" i="16"/>
  <c r="K29" i="16"/>
  <c r="BQ3" i="14"/>
  <c r="G99" i="16"/>
  <c r="G87" i="16"/>
  <c r="K88" i="16"/>
  <c r="C20" i="19"/>
  <c r="B19" i="15" s="1"/>
  <c r="P32" i="1"/>
  <c r="P29" i="1"/>
  <c r="P30" i="1"/>
  <c r="P9" i="1"/>
  <c r="P28" i="1"/>
  <c r="P33" i="1"/>
  <c r="P7" i="1"/>
  <c r="P34" i="1"/>
  <c r="P31" i="1"/>
  <c r="P35" i="1"/>
  <c r="P10" i="1"/>
  <c r="P11" i="1"/>
  <c r="P8" i="1"/>
  <c r="A10" i="14"/>
  <c r="E10" i="14" s="1"/>
  <c r="E14" i="14"/>
  <c r="I62" i="16" l="1"/>
  <c r="H62" i="16" s="1"/>
  <c r="C45" i="16" s="1"/>
  <c r="G63" i="16"/>
  <c r="I87" i="16"/>
  <c r="H87" i="16" s="1"/>
  <c r="C78" i="16" s="1"/>
  <c r="C20" i="20"/>
  <c r="B33" i="15" s="1"/>
  <c r="D5" i="14"/>
  <c r="E5" i="14" s="1"/>
  <c r="E7" i="14"/>
  <c r="I99" i="16"/>
  <c r="H99" i="16" s="1"/>
  <c r="G100" i="16"/>
  <c r="C4" i="15"/>
  <c r="H33" i="14"/>
  <c r="P21" i="1"/>
  <c r="P23" i="1"/>
  <c r="P25" i="1"/>
  <c r="P22" i="1"/>
  <c r="P24" i="1"/>
  <c r="P15" i="1"/>
  <c r="P14" i="1"/>
  <c r="P17" i="1"/>
  <c r="P16" i="1"/>
  <c r="P18" i="1"/>
  <c r="C19" i="15"/>
  <c r="I26" i="16"/>
  <c r="H26" i="16" s="1"/>
  <c r="C9" i="16" s="1"/>
  <c r="G27" i="16"/>
  <c r="G51" i="16"/>
  <c r="K52" i="16"/>
  <c r="G15" i="16"/>
  <c r="K16" i="16"/>
  <c r="C33" i="15" l="1"/>
  <c r="I27" i="16"/>
  <c r="H27" i="16" s="1"/>
  <c r="G28" i="16" s="1"/>
  <c r="I15" i="16"/>
  <c r="H15" i="16" s="1"/>
  <c r="C6" i="16" s="1"/>
  <c r="B9" i="18"/>
  <c r="B25" i="18" s="1"/>
  <c r="H23" i="14"/>
  <c r="H37" i="14"/>
  <c r="G88" i="16"/>
  <c r="I51" i="16"/>
  <c r="H51" i="16" s="1"/>
  <c r="C42" i="16" s="1"/>
  <c r="G52" i="16"/>
  <c r="I100" i="16"/>
  <c r="H100" i="16" s="1"/>
  <c r="G101" i="16" s="1"/>
  <c r="I63" i="16"/>
  <c r="H63" i="16" s="1"/>
  <c r="G64" i="16" s="1"/>
  <c r="D19" i="15"/>
  <c r="C9" i="19"/>
  <c r="C25" i="19" s="1"/>
  <c r="I64" i="16" l="1"/>
  <c r="H64" i="16" s="1"/>
  <c r="G65" i="16" s="1"/>
  <c r="I28" i="16"/>
  <c r="H28" i="16" s="1"/>
  <c r="G29" i="16"/>
  <c r="G16" i="16"/>
  <c r="B3" i="1"/>
  <c r="B4" i="1" s="1"/>
  <c r="H43" i="14"/>
  <c r="H40" i="14"/>
  <c r="H41" i="14"/>
  <c r="H42" i="14"/>
  <c r="C42" i="19"/>
  <c r="C45" i="19"/>
  <c r="C43" i="19"/>
  <c r="C46" i="19"/>
  <c r="C44" i="19"/>
  <c r="C35" i="19"/>
  <c r="C32" i="19"/>
  <c r="C36" i="19"/>
  <c r="C34" i="19"/>
  <c r="C38" i="19"/>
  <c r="C37" i="19"/>
  <c r="C33" i="19"/>
  <c r="C28" i="19"/>
  <c r="D5" i="19" s="1"/>
  <c r="I52" i="16"/>
  <c r="H52" i="16" s="1"/>
  <c r="G53" i="16"/>
  <c r="B46" i="18"/>
  <c r="B45" i="18"/>
  <c r="B44" i="18"/>
  <c r="B43" i="18"/>
  <c r="B42" i="18"/>
  <c r="B38" i="18"/>
  <c r="B33" i="18"/>
  <c r="B37" i="18"/>
  <c r="B34" i="18"/>
  <c r="B36" i="18"/>
  <c r="B32" i="18"/>
  <c r="B35" i="18"/>
  <c r="B28" i="18"/>
  <c r="C5" i="18" s="1"/>
  <c r="H20" i="14"/>
  <c r="I88" i="16"/>
  <c r="H88" i="16" s="1"/>
  <c r="G89" i="16" s="1"/>
  <c r="H28" i="14"/>
  <c r="H3" i="14" s="1"/>
  <c r="I36" i="14" s="1"/>
  <c r="D33" i="15"/>
  <c r="C9" i="20"/>
  <c r="C25" i="20" s="1"/>
  <c r="I89" i="16" l="1"/>
  <c r="H89" i="16" s="1"/>
  <c r="G90" i="16" s="1"/>
  <c r="B28" i="1"/>
  <c r="B10" i="1"/>
  <c r="B11" i="1"/>
  <c r="B9" i="1"/>
  <c r="B8" i="1"/>
  <c r="B29" i="1"/>
  <c r="B7" i="1"/>
  <c r="B35" i="1"/>
  <c r="B30" i="1"/>
  <c r="B31" i="1"/>
  <c r="B34" i="1"/>
  <c r="B32" i="1"/>
  <c r="B33" i="1"/>
  <c r="C20" i="18"/>
  <c r="B5" i="15" s="1"/>
  <c r="I16" i="16"/>
  <c r="H16" i="16" s="1"/>
  <c r="G17" i="16" s="1"/>
  <c r="I53" i="16"/>
  <c r="H53" i="16" s="1"/>
  <c r="G54" i="16" s="1"/>
  <c r="C44" i="20"/>
  <c r="C45" i="20"/>
  <c r="C42" i="20"/>
  <c r="C46" i="20"/>
  <c r="C43" i="20"/>
  <c r="C36" i="20"/>
  <c r="C32" i="20"/>
  <c r="C33" i="20"/>
  <c r="C35" i="20"/>
  <c r="C38" i="20"/>
  <c r="C37" i="20"/>
  <c r="C34" i="20"/>
  <c r="C28" i="20"/>
  <c r="D5" i="20" s="1"/>
  <c r="D20" i="19"/>
  <c r="B20" i="15" s="1"/>
  <c r="I17" i="16" l="1"/>
  <c r="H17" i="16" s="1"/>
  <c r="G18" i="16"/>
  <c r="I54" i="16"/>
  <c r="H54" i="16" s="1"/>
  <c r="G55" i="16" s="1"/>
  <c r="I90" i="16"/>
  <c r="H90" i="16" s="1"/>
  <c r="G91" i="16"/>
  <c r="C20" i="15"/>
  <c r="B23" i="15"/>
  <c r="B21" i="1"/>
  <c r="B25" i="1"/>
  <c r="B22" i="1"/>
  <c r="B23" i="1"/>
  <c r="B24" i="1"/>
  <c r="B16" i="1"/>
  <c r="B18" i="1"/>
  <c r="B14" i="1"/>
  <c r="B17" i="1"/>
  <c r="B15" i="1"/>
  <c r="D20" i="20"/>
  <c r="B34" i="15" s="1"/>
  <c r="C5" i="15"/>
  <c r="I33" i="14"/>
  <c r="I55" i="16" l="1"/>
  <c r="H55" i="16" s="1"/>
  <c r="G56" i="16"/>
  <c r="I91" i="16"/>
  <c r="H91" i="16" s="1"/>
  <c r="G92" i="16"/>
  <c r="D5" i="15"/>
  <c r="I37" i="14"/>
  <c r="I28" i="14" s="1"/>
  <c r="I23" i="14"/>
  <c r="C9" i="18"/>
  <c r="C25" i="18" s="1"/>
  <c r="E10" i="19"/>
  <c r="B39" i="16"/>
  <c r="A33" i="14"/>
  <c r="C34" i="15"/>
  <c r="B36" i="15"/>
  <c r="I18" i="16"/>
  <c r="H18" i="16" s="1"/>
  <c r="G19" i="16"/>
  <c r="D20" i="15"/>
  <c r="D23" i="15" s="1"/>
  <c r="E9" i="19"/>
  <c r="E25" i="19" s="1"/>
  <c r="D9" i="19"/>
  <c r="D25" i="19" s="1"/>
  <c r="E45" i="19" l="1"/>
  <c r="E43" i="19"/>
  <c r="E46" i="19"/>
  <c r="E44" i="19"/>
  <c r="E42" i="19"/>
  <c r="E36" i="19"/>
  <c r="E35" i="19"/>
  <c r="E34" i="19"/>
  <c r="E33" i="19"/>
  <c r="E38" i="19"/>
  <c r="E37" i="19"/>
  <c r="E32" i="19"/>
  <c r="D42" i="19"/>
  <c r="D45" i="19"/>
  <c r="D43" i="19"/>
  <c r="D46" i="19"/>
  <c r="D44" i="19"/>
  <c r="D37" i="19"/>
  <c r="D36" i="19"/>
  <c r="D33" i="19"/>
  <c r="D32" i="19"/>
  <c r="D35" i="19"/>
  <c r="D38" i="19"/>
  <c r="D34" i="19"/>
  <c r="D28" i="19"/>
  <c r="E5" i="19" s="1"/>
  <c r="E28" i="19" s="1"/>
  <c r="F5" i="19" s="1"/>
  <c r="I92" i="16"/>
  <c r="H92" i="16" s="1"/>
  <c r="G93" i="16" s="1"/>
  <c r="G39" i="16"/>
  <c r="E21" i="19"/>
  <c r="K41" i="16"/>
  <c r="K42" i="16" s="1"/>
  <c r="B50" i="16"/>
  <c r="C45" i="18"/>
  <c r="C44" i="18"/>
  <c r="C42" i="18"/>
  <c r="C46" i="18"/>
  <c r="C43" i="18"/>
  <c r="C34" i="18"/>
  <c r="C38" i="18"/>
  <c r="C35" i="18"/>
  <c r="C32" i="18"/>
  <c r="C36" i="18"/>
  <c r="C37" i="18"/>
  <c r="C33" i="18"/>
  <c r="C28" i="18"/>
  <c r="D5" i="18" s="1"/>
  <c r="B75" i="16"/>
  <c r="D10" i="20"/>
  <c r="I20" i="14"/>
  <c r="I3" i="14" s="1"/>
  <c r="J36" i="14" s="1"/>
  <c r="I56" i="16"/>
  <c r="H56" i="16" s="1"/>
  <c r="G57" i="16" s="1"/>
  <c r="I41" i="14"/>
  <c r="I43" i="14"/>
  <c r="I42" i="14"/>
  <c r="I40" i="14"/>
  <c r="C3" i="1"/>
  <c r="C4" i="1" s="1"/>
  <c r="A37" i="14"/>
  <c r="A28" i="14" s="1"/>
  <c r="G20" i="16"/>
  <c r="I19" i="16"/>
  <c r="H19" i="16" s="1"/>
  <c r="D34" i="15"/>
  <c r="D36" i="15" s="1"/>
  <c r="D9" i="20"/>
  <c r="D25" i="20" s="1"/>
  <c r="I20" i="16" l="1"/>
  <c r="H20" i="16" s="1"/>
  <c r="G21" i="16"/>
  <c r="I39" i="16"/>
  <c r="C9" i="1"/>
  <c r="C30" i="1"/>
  <c r="C28" i="1"/>
  <c r="C32" i="1"/>
  <c r="C7" i="1"/>
  <c r="C34" i="1"/>
  <c r="C35" i="1"/>
  <c r="C11" i="1"/>
  <c r="C29" i="1"/>
  <c r="C8" i="1"/>
  <c r="C31" i="1"/>
  <c r="C33" i="1"/>
  <c r="C10" i="1"/>
  <c r="D20" i="18"/>
  <c r="B6" i="15" s="1"/>
  <c r="D45" i="20"/>
  <c r="D42" i="20"/>
  <c r="D46" i="20"/>
  <c r="D43" i="20"/>
  <c r="D44" i="20"/>
  <c r="D36" i="20"/>
  <c r="D37" i="20"/>
  <c r="D38" i="20"/>
  <c r="D32" i="20"/>
  <c r="D35" i="20"/>
  <c r="D33" i="20"/>
  <c r="D34" i="20"/>
  <c r="B86" i="16"/>
  <c r="G75" i="16"/>
  <c r="D21" i="20"/>
  <c r="D28" i="20" s="1"/>
  <c r="E5" i="20" s="1"/>
  <c r="K77" i="16"/>
  <c r="K78" i="16" s="1"/>
  <c r="C6" i="15" l="1"/>
  <c r="J33" i="14"/>
  <c r="B9" i="15"/>
  <c r="G11" i="19"/>
  <c r="G25" i="19" s="1"/>
  <c r="I11" i="19"/>
  <c r="I25" i="19" s="1"/>
  <c r="K11" i="19"/>
  <c r="K25" i="19" s="1"/>
  <c r="F11" i="19"/>
  <c r="F25" i="19" s="1"/>
  <c r="M11" i="19"/>
  <c r="H39" i="16"/>
  <c r="H11" i="19"/>
  <c r="H25" i="19" s="1"/>
  <c r="J11" i="19"/>
  <c r="J25" i="19" s="1"/>
  <c r="L11" i="19"/>
  <c r="L25" i="19" s="1"/>
  <c r="I75" i="16"/>
  <c r="C14" i="1"/>
  <c r="C17" i="1"/>
  <c r="C15" i="1"/>
  <c r="C16" i="1"/>
  <c r="C18" i="1"/>
  <c r="C22" i="1"/>
  <c r="C21" i="1"/>
  <c r="C24" i="1"/>
  <c r="C25" i="1"/>
  <c r="C23" i="1"/>
  <c r="J22" i="20"/>
  <c r="J12" i="20"/>
  <c r="F43" i="19" l="1"/>
  <c r="F46" i="19"/>
  <c r="F44" i="19"/>
  <c r="F42" i="19"/>
  <c r="F45" i="19"/>
  <c r="F32" i="19"/>
  <c r="F38" i="19"/>
  <c r="F36" i="19"/>
  <c r="F34" i="19"/>
  <c r="F35" i="19"/>
  <c r="F33" i="19"/>
  <c r="F37" i="19"/>
  <c r="F28" i="19"/>
  <c r="G5" i="19" s="1"/>
  <c r="G28" i="19" s="1"/>
  <c r="H5" i="19" s="1"/>
  <c r="H28" i="19" s="1"/>
  <c r="I5" i="19" s="1"/>
  <c r="I28" i="19" s="1"/>
  <c r="J5" i="19" s="1"/>
  <c r="J28" i="19" s="1"/>
  <c r="K5" i="19" s="1"/>
  <c r="K28" i="19" s="1"/>
  <c r="L5" i="19" s="1"/>
  <c r="L28" i="19" s="1"/>
  <c r="M5" i="19" s="1"/>
  <c r="K42" i="19"/>
  <c r="K45" i="19"/>
  <c r="K43" i="19"/>
  <c r="K46" i="19"/>
  <c r="K34" i="19"/>
  <c r="K33" i="19"/>
  <c r="K32" i="19"/>
  <c r="K38" i="19"/>
  <c r="K44" i="19"/>
  <c r="K37" i="19"/>
  <c r="K35" i="19"/>
  <c r="K36" i="19"/>
  <c r="I44" i="19"/>
  <c r="I42" i="19"/>
  <c r="I45" i="19"/>
  <c r="I43" i="19"/>
  <c r="I46" i="19"/>
  <c r="I33" i="19"/>
  <c r="I32" i="19"/>
  <c r="I38" i="19"/>
  <c r="I37" i="19"/>
  <c r="I34" i="19"/>
  <c r="I36" i="19"/>
  <c r="I35" i="19"/>
  <c r="G43" i="19"/>
  <c r="G46" i="19"/>
  <c r="G44" i="19"/>
  <c r="G42" i="19"/>
  <c r="G45" i="19"/>
  <c r="G35" i="19"/>
  <c r="G34" i="19"/>
  <c r="G33" i="19"/>
  <c r="G32" i="19"/>
  <c r="G37" i="19"/>
  <c r="G36" i="19"/>
  <c r="G38" i="19"/>
  <c r="F11" i="20"/>
  <c r="F25" i="20" s="1"/>
  <c r="H11" i="20"/>
  <c r="H25" i="20" s="1"/>
  <c r="J11" i="20"/>
  <c r="H75" i="16"/>
  <c r="E11" i="20"/>
  <c r="E25" i="20" s="1"/>
  <c r="I11" i="20"/>
  <c r="I25" i="20" s="1"/>
  <c r="G11" i="20"/>
  <c r="G25" i="20" s="1"/>
  <c r="J44" i="19"/>
  <c r="J42" i="19"/>
  <c r="J45" i="19"/>
  <c r="J43" i="19"/>
  <c r="J46" i="19"/>
  <c r="J35" i="19"/>
  <c r="J32" i="19"/>
  <c r="J36" i="19"/>
  <c r="J33" i="19"/>
  <c r="J34" i="19"/>
  <c r="J38" i="19"/>
  <c r="J37" i="19"/>
  <c r="B3" i="16"/>
  <c r="E10" i="18"/>
  <c r="K23" i="14"/>
  <c r="G33" i="14"/>
  <c r="H46" i="19"/>
  <c r="H44" i="19"/>
  <c r="H42" i="19"/>
  <c r="H45" i="19"/>
  <c r="H43" i="19"/>
  <c r="H35" i="19"/>
  <c r="H34" i="19"/>
  <c r="H33" i="19"/>
  <c r="H32" i="19"/>
  <c r="H36" i="19"/>
  <c r="H38" i="19"/>
  <c r="H37" i="19"/>
  <c r="B33" i="14"/>
  <c r="J28" i="14"/>
  <c r="L42" i="19"/>
  <c r="L45" i="19"/>
  <c r="L43" i="19"/>
  <c r="L46" i="19"/>
  <c r="L44" i="19"/>
  <c r="L38" i="19"/>
  <c r="L35" i="19"/>
  <c r="L33" i="19"/>
  <c r="L34" i="19"/>
  <c r="L37" i="19"/>
  <c r="L32" i="19"/>
  <c r="L36" i="19"/>
  <c r="C39" i="16"/>
  <c r="C50" i="16" s="1"/>
  <c r="G40" i="16"/>
  <c r="D6" i="15"/>
  <c r="D9" i="15" s="1"/>
  <c r="G23" i="14" s="1"/>
  <c r="J23" i="14"/>
  <c r="D9" i="18"/>
  <c r="D25" i="18" s="1"/>
  <c r="J37" i="14"/>
  <c r="E9" i="18"/>
  <c r="E25" i="18" s="1"/>
  <c r="J20" i="14" l="1"/>
  <c r="E23" i="14"/>
  <c r="J3" i="14"/>
  <c r="K36" i="14" s="1"/>
  <c r="E45" i="20"/>
  <c r="E46" i="20"/>
  <c r="E42" i="20"/>
  <c r="E43" i="20"/>
  <c r="E44" i="20"/>
  <c r="E35" i="20"/>
  <c r="E34" i="20"/>
  <c r="E37" i="20"/>
  <c r="E33" i="20"/>
  <c r="E32" i="20"/>
  <c r="E38" i="20"/>
  <c r="E36" i="20"/>
  <c r="E28" i="20"/>
  <c r="F5" i="20" s="1"/>
  <c r="F28" i="20" s="1"/>
  <c r="G5" i="20" s="1"/>
  <c r="G28" i="20" s="1"/>
  <c r="H5" i="20" s="1"/>
  <c r="H28" i="20" s="1"/>
  <c r="I5" i="20" s="1"/>
  <c r="I28" i="20" s="1"/>
  <c r="J5" i="20" s="1"/>
  <c r="D45" i="18"/>
  <c r="D44" i="18"/>
  <c r="D42" i="18"/>
  <c r="D46" i="18"/>
  <c r="D43" i="18"/>
  <c r="D38" i="18"/>
  <c r="D35" i="18"/>
  <c r="D32" i="18"/>
  <c r="D36" i="18"/>
  <c r="D37" i="18"/>
  <c r="D34" i="18"/>
  <c r="D33" i="18"/>
  <c r="D28" i="18"/>
  <c r="E5" i="18" s="1"/>
  <c r="E33" i="14"/>
  <c r="E21" i="18"/>
  <c r="G3" i="16"/>
  <c r="K5" i="16"/>
  <c r="K6" i="16" s="1"/>
  <c r="K34" i="14"/>
  <c r="B14" i="16"/>
  <c r="G34" i="14" s="1"/>
  <c r="C75" i="16"/>
  <c r="C86" i="16" s="1"/>
  <c r="G76" i="16"/>
  <c r="G41" i="16"/>
  <c r="I40" i="16"/>
  <c r="H40" i="16" s="1"/>
  <c r="H43" i="20"/>
  <c r="H44" i="20"/>
  <c r="H45" i="20"/>
  <c r="H42" i="20"/>
  <c r="H33" i="20"/>
  <c r="H34" i="20"/>
  <c r="H38" i="20"/>
  <c r="H32" i="20"/>
  <c r="H37" i="20"/>
  <c r="H46" i="20"/>
  <c r="H35" i="20"/>
  <c r="H36" i="20"/>
  <c r="F46" i="20"/>
  <c r="F42" i="20"/>
  <c r="F43" i="20"/>
  <c r="F44" i="20"/>
  <c r="F45" i="20"/>
  <c r="F36" i="20"/>
  <c r="F35" i="20"/>
  <c r="F33" i="20"/>
  <c r="F34" i="20"/>
  <c r="F38" i="20"/>
  <c r="F37" i="20"/>
  <c r="F32" i="20"/>
  <c r="E43" i="18"/>
  <c r="E42" i="18"/>
  <c r="E45" i="18"/>
  <c r="E44" i="18"/>
  <c r="E46" i="18"/>
  <c r="E33" i="18"/>
  <c r="E37" i="18"/>
  <c r="E34" i="18"/>
  <c r="E38" i="18"/>
  <c r="E35" i="18"/>
  <c r="E32" i="18"/>
  <c r="E36" i="18"/>
  <c r="I43" i="20"/>
  <c r="I44" i="20"/>
  <c r="I45" i="20"/>
  <c r="I46" i="20"/>
  <c r="I42" i="20"/>
  <c r="I33" i="20"/>
  <c r="I34" i="20"/>
  <c r="I37" i="20"/>
  <c r="I32" i="20"/>
  <c r="I38" i="20"/>
  <c r="I35" i="20"/>
  <c r="I36" i="20"/>
  <c r="J43" i="14"/>
  <c r="J42" i="14"/>
  <c r="J40" i="14"/>
  <c r="D3" i="1"/>
  <c r="D4" i="1" s="1"/>
  <c r="B37" i="14"/>
  <c r="B28" i="14" s="1"/>
  <c r="J41" i="14"/>
  <c r="G46" i="20"/>
  <c r="G42" i="20"/>
  <c r="G43" i="20"/>
  <c r="G44" i="20"/>
  <c r="G45" i="20"/>
  <c r="G36" i="20"/>
  <c r="G38" i="20"/>
  <c r="G32" i="20"/>
  <c r="G33" i="20"/>
  <c r="G34" i="20"/>
  <c r="G35" i="20"/>
  <c r="G37" i="20"/>
  <c r="I76" i="16" l="1"/>
  <c r="H76" i="16" s="1"/>
  <c r="G77" i="16"/>
  <c r="E28" i="18"/>
  <c r="F5" i="18" s="1"/>
  <c r="C34" i="14"/>
  <c r="I3" i="16"/>
  <c r="D32" i="1"/>
  <c r="D10" i="1"/>
  <c r="D9" i="1"/>
  <c r="D8" i="1"/>
  <c r="D33" i="1"/>
  <c r="D30" i="1"/>
  <c r="D7" i="1"/>
  <c r="D11" i="1"/>
  <c r="D35" i="1"/>
  <c r="D28" i="1"/>
  <c r="D29" i="1"/>
  <c r="D34" i="1"/>
  <c r="D31" i="1"/>
  <c r="I41" i="16"/>
  <c r="H41" i="16" s="1"/>
  <c r="G42" i="16"/>
  <c r="D15" i="1" l="1"/>
  <c r="D17" i="1"/>
  <c r="D16" i="1"/>
  <c r="D18" i="1"/>
  <c r="D14" i="1"/>
  <c r="E34" i="14"/>
  <c r="H3" i="16"/>
  <c r="G11" i="18"/>
  <c r="G25" i="18" s="1"/>
  <c r="F11" i="18"/>
  <c r="F25" i="18" s="1"/>
  <c r="D24" i="1"/>
  <c r="D21" i="1"/>
  <c r="D25" i="1"/>
  <c r="D23" i="1"/>
  <c r="D22" i="1"/>
  <c r="F28" i="18"/>
  <c r="G5" i="18" s="1"/>
  <c r="G28" i="18" s="1"/>
  <c r="H5" i="18" s="1"/>
  <c r="I77" i="16"/>
  <c r="H77" i="16" s="1"/>
  <c r="G78" i="16" s="1"/>
  <c r="I42" i="16"/>
  <c r="H42" i="16" s="1"/>
  <c r="G43" i="16" s="1"/>
  <c r="I78" i="16" l="1"/>
  <c r="H78" i="16" s="1"/>
  <c r="G79" i="16" s="1"/>
  <c r="I43" i="16"/>
  <c r="H43" i="16" s="1"/>
  <c r="G44" i="16"/>
  <c r="C3" i="16"/>
  <c r="G4" i="16"/>
  <c r="F46" i="18"/>
  <c r="F43" i="18"/>
  <c r="F45" i="18"/>
  <c r="F42" i="18"/>
  <c r="F44" i="18"/>
  <c r="F36" i="18"/>
  <c r="F33" i="18"/>
  <c r="F37" i="18"/>
  <c r="F34" i="18"/>
  <c r="F38" i="18"/>
  <c r="F35" i="18"/>
  <c r="F32" i="18"/>
  <c r="G46" i="18"/>
  <c r="G43" i="18"/>
  <c r="G45" i="18"/>
  <c r="G44" i="18"/>
  <c r="G42" i="18"/>
  <c r="G38" i="18"/>
  <c r="G35" i="18"/>
  <c r="G32" i="18"/>
  <c r="G36" i="18"/>
  <c r="G33" i="18"/>
  <c r="G34" i="18"/>
  <c r="G37" i="18"/>
  <c r="I79" i="16" l="1"/>
  <c r="H79" i="16" s="1"/>
  <c r="G80" i="16"/>
  <c r="K11" i="18"/>
  <c r="K25" i="18" s="1"/>
  <c r="H11" i="18"/>
  <c r="H25" i="18" s="1"/>
  <c r="J11" i="18"/>
  <c r="J25" i="18" s="1"/>
  <c r="L11" i="18"/>
  <c r="I11" i="18"/>
  <c r="I25" i="18" s="1"/>
  <c r="M24" i="14"/>
  <c r="M20" i="14" s="1"/>
  <c r="R37" i="14"/>
  <c r="S37" i="14"/>
  <c r="O24" i="14"/>
  <c r="O20" i="14" s="1"/>
  <c r="N24" i="14"/>
  <c r="N20" i="14" s="1"/>
  <c r="C14" i="16"/>
  <c r="G24" i="14" s="1"/>
  <c r="Q37" i="14"/>
  <c r="S24" i="14"/>
  <c r="S20" i="14" s="1"/>
  <c r="K24" i="14"/>
  <c r="R24" i="14"/>
  <c r="R20" i="14" s="1"/>
  <c r="P24" i="14"/>
  <c r="P20" i="14" s="1"/>
  <c r="P37" i="14"/>
  <c r="O37" i="14"/>
  <c r="M37" i="14"/>
  <c r="L37" i="14"/>
  <c r="K37" i="14"/>
  <c r="N37" i="14"/>
  <c r="Q24" i="14"/>
  <c r="Q20" i="14" s="1"/>
  <c r="L24" i="14"/>
  <c r="L20" i="14" s="1"/>
  <c r="I44" i="16"/>
  <c r="H44" i="16" s="1"/>
  <c r="G45" i="16"/>
  <c r="I4" i="16"/>
  <c r="H4" i="16" s="1"/>
  <c r="G5" i="16"/>
  <c r="K20" i="14" l="1"/>
  <c r="I44" i="18"/>
  <c r="I46" i="18"/>
  <c r="I43" i="18"/>
  <c r="I42" i="18"/>
  <c r="I45" i="18"/>
  <c r="I37" i="18"/>
  <c r="I34" i="18"/>
  <c r="I38" i="18"/>
  <c r="I35" i="18"/>
  <c r="I33" i="18"/>
  <c r="I32" i="18"/>
  <c r="I36" i="18"/>
  <c r="I5" i="16"/>
  <c r="H5" i="16" s="1"/>
  <c r="G6" i="16" s="1"/>
  <c r="J44" i="18"/>
  <c r="J46" i="18"/>
  <c r="J43" i="18"/>
  <c r="J42" i="18"/>
  <c r="J45" i="18"/>
  <c r="J32" i="18"/>
  <c r="J36" i="18"/>
  <c r="J33" i="18"/>
  <c r="J37" i="18"/>
  <c r="J34" i="18"/>
  <c r="J35" i="18"/>
  <c r="J38" i="18"/>
  <c r="H44" i="18"/>
  <c r="H46" i="18"/>
  <c r="H43" i="18"/>
  <c r="H42" i="18"/>
  <c r="H45" i="18"/>
  <c r="H34" i="18"/>
  <c r="H38" i="18"/>
  <c r="H35" i="18"/>
  <c r="H32" i="18"/>
  <c r="H36" i="18"/>
  <c r="H37" i="18"/>
  <c r="H33" i="18"/>
  <c r="H28" i="18"/>
  <c r="I5" i="18" s="1"/>
  <c r="I28" i="18" s="1"/>
  <c r="J5" i="18" s="1"/>
  <c r="J28" i="18" s="1"/>
  <c r="K5" i="18" s="1"/>
  <c r="K28" i="18" s="1"/>
  <c r="L5" i="18" s="1"/>
  <c r="K45" i="18"/>
  <c r="K42" i="18"/>
  <c r="K44" i="18"/>
  <c r="K46" i="18"/>
  <c r="K43" i="18"/>
  <c r="K36" i="18"/>
  <c r="K33" i="18"/>
  <c r="K37" i="18"/>
  <c r="K34" i="18"/>
  <c r="K32" i="18"/>
  <c r="K38" i="18"/>
  <c r="K35" i="18"/>
  <c r="L41" i="14"/>
  <c r="L42" i="14"/>
  <c r="L43" i="14"/>
  <c r="L40" i="14"/>
  <c r="F3" i="1"/>
  <c r="F4" i="1" s="1"/>
  <c r="I45" i="16"/>
  <c r="H45" i="16" s="1"/>
  <c r="G46" i="16" s="1"/>
  <c r="J3" i="1"/>
  <c r="J4" i="1" s="1"/>
  <c r="P40" i="14"/>
  <c r="P42" i="14"/>
  <c r="P43" i="14"/>
  <c r="P41" i="14"/>
  <c r="M3" i="1"/>
  <c r="M4" i="1" s="1"/>
  <c r="S42" i="14"/>
  <c r="S41" i="14"/>
  <c r="S40" i="14"/>
  <c r="S43" i="14"/>
  <c r="I80" i="16"/>
  <c r="H80" i="16" s="1"/>
  <c r="G81" i="16" s="1"/>
  <c r="N42" i="14"/>
  <c r="N40" i="14"/>
  <c r="N41" i="14"/>
  <c r="H3" i="1"/>
  <c r="H4" i="1" s="1"/>
  <c r="N43" i="14"/>
  <c r="K41" i="14"/>
  <c r="K43" i="14"/>
  <c r="K40" i="14"/>
  <c r="E3" i="1"/>
  <c r="E4" i="1" s="1"/>
  <c r="C37" i="14"/>
  <c r="K42" i="14"/>
  <c r="K28" i="14"/>
  <c r="K3" i="14" s="1"/>
  <c r="L36" i="14" s="1"/>
  <c r="L28" i="14" s="1"/>
  <c r="L3" i="14" s="1"/>
  <c r="M36" i="14" s="1"/>
  <c r="M28" i="14" s="1"/>
  <c r="M3" i="14" s="1"/>
  <c r="N36" i="14" s="1"/>
  <c r="N28" i="14" s="1"/>
  <c r="N3" i="14" s="1"/>
  <c r="O36" i="14" s="1"/>
  <c r="O28" i="14" s="1"/>
  <c r="O3" i="14" s="1"/>
  <c r="P36" i="14" s="1"/>
  <c r="P28" i="14" s="1"/>
  <c r="P3" i="14" s="1"/>
  <c r="Q36" i="14" s="1"/>
  <c r="Q28" i="14" s="1"/>
  <c r="Q3" i="14" s="1"/>
  <c r="R36" i="14" s="1"/>
  <c r="R28" i="14" s="1"/>
  <c r="R3" i="14" s="1"/>
  <c r="S36" i="14" s="1"/>
  <c r="S28" i="14" s="1"/>
  <c r="S3" i="14" s="1"/>
  <c r="T36" i="14" s="1"/>
  <c r="K3" i="1"/>
  <c r="K4" i="1" s="1"/>
  <c r="Q43" i="14"/>
  <c r="Q41" i="14"/>
  <c r="Q42" i="14"/>
  <c r="Q40" i="14"/>
  <c r="M41" i="14"/>
  <c r="G3" i="1"/>
  <c r="G4" i="1" s="1"/>
  <c r="M40" i="14"/>
  <c r="M42" i="14"/>
  <c r="M43" i="14"/>
  <c r="I3" i="1"/>
  <c r="I4" i="1" s="1"/>
  <c r="O41" i="14"/>
  <c r="O43" i="14"/>
  <c r="O40" i="14"/>
  <c r="O42" i="14"/>
  <c r="R43" i="14"/>
  <c r="L3" i="1"/>
  <c r="L4" i="1" s="1"/>
  <c r="R40" i="14"/>
  <c r="R42" i="14"/>
  <c r="R41" i="14"/>
  <c r="I81" i="16" l="1"/>
  <c r="H81" i="16" s="1"/>
  <c r="G82" i="16" s="1"/>
  <c r="I6" i="16"/>
  <c r="H6" i="16" s="1"/>
  <c r="G7" i="16" s="1"/>
  <c r="I46" i="16"/>
  <c r="H46" i="16" s="1"/>
  <c r="G47" i="16"/>
  <c r="H31" i="1"/>
  <c r="H7" i="1"/>
  <c r="H32" i="1"/>
  <c r="H28" i="1"/>
  <c r="H9" i="1"/>
  <c r="H34" i="1"/>
  <c r="H8" i="1"/>
  <c r="H30" i="1"/>
  <c r="H10" i="1"/>
  <c r="H29" i="1"/>
  <c r="H11" i="1"/>
  <c r="H33" i="1"/>
  <c r="H35" i="1"/>
  <c r="J7" i="1"/>
  <c r="J10" i="1"/>
  <c r="J9" i="1"/>
  <c r="J33" i="1"/>
  <c r="J8" i="1"/>
  <c r="J29" i="1"/>
  <c r="J30" i="1"/>
  <c r="J11" i="1"/>
  <c r="J32" i="1"/>
  <c r="J28" i="1"/>
  <c r="J34" i="1"/>
  <c r="J31" i="1"/>
  <c r="J35" i="1"/>
  <c r="G32" i="1"/>
  <c r="G11" i="1"/>
  <c r="G31" i="1"/>
  <c r="G34" i="1"/>
  <c r="G28" i="1"/>
  <c r="G30" i="1"/>
  <c r="G35" i="1"/>
  <c r="G33" i="1"/>
  <c r="G10" i="1"/>
  <c r="G7" i="1"/>
  <c r="G9" i="1"/>
  <c r="G29" i="1"/>
  <c r="G8" i="1"/>
  <c r="C28" i="14"/>
  <c r="E30" i="1"/>
  <c r="E35" i="1"/>
  <c r="E9" i="1"/>
  <c r="E34" i="1"/>
  <c r="E31" i="1"/>
  <c r="E8" i="1"/>
  <c r="E7" i="1"/>
  <c r="E33" i="1"/>
  <c r="E28" i="1"/>
  <c r="E11" i="1"/>
  <c r="E29" i="1"/>
  <c r="E10" i="1"/>
  <c r="E32" i="1"/>
  <c r="M33" i="1"/>
  <c r="M7" i="1"/>
  <c r="M34" i="1"/>
  <c r="M29" i="1"/>
  <c r="M32" i="1"/>
  <c r="M28" i="1"/>
  <c r="M31" i="1"/>
  <c r="M8" i="1"/>
  <c r="M10" i="1"/>
  <c r="M11" i="1"/>
  <c r="M35" i="1"/>
  <c r="M9" i="1"/>
  <c r="M30" i="1"/>
  <c r="F10" i="1"/>
  <c r="F28" i="1"/>
  <c r="F35" i="1"/>
  <c r="F34" i="1"/>
  <c r="F31" i="1"/>
  <c r="F30" i="1"/>
  <c r="F8" i="1"/>
  <c r="F11" i="1"/>
  <c r="F33" i="1"/>
  <c r="F7" i="1"/>
  <c r="F29" i="1"/>
  <c r="F32" i="1"/>
  <c r="F9" i="1"/>
  <c r="I30" i="1"/>
  <c r="I11" i="1"/>
  <c r="I35" i="1"/>
  <c r="I31" i="1"/>
  <c r="I34" i="1"/>
  <c r="I28" i="1"/>
  <c r="I8" i="1"/>
  <c r="I32" i="1"/>
  <c r="I9" i="1"/>
  <c r="I33" i="1"/>
  <c r="I7" i="1"/>
  <c r="I29" i="1"/>
  <c r="I10" i="1"/>
  <c r="L9" i="1"/>
  <c r="L32" i="1"/>
  <c r="L10" i="1"/>
  <c r="L11" i="1"/>
  <c r="L34" i="1"/>
  <c r="L30" i="1"/>
  <c r="L31" i="1"/>
  <c r="L33" i="1"/>
  <c r="L35" i="1"/>
  <c r="L29" i="1"/>
  <c r="L28" i="1"/>
  <c r="L7" i="1"/>
  <c r="L8" i="1"/>
  <c r="K7" i="1"/>
  <c r="K34" i="1"/>
  <c r="K33" i="1"/>
  <c r="K30" i="1"/>
  <c r="K31" i="1"/>
  <c r="K35" i="1"/>
  <c r="K28" i="1"/>
  <c r="K8" i="1"/>
  <c r="K29" i="1"/>
  <c r="K10" i="1"/>
  <c r="K32" i="1"/>
  <c r="K11" i="1"/>
  <c r="K9" i="1"/>
  <c r="I7" i="16" l="1"/>
  <c r="H7" i="16" s="1"/>
  <c r="G8" i="16" s="1"/>
  <c r="I82" i="16"/>
  <c r="H82" i="16" s="1"/>
  <c r="G83" i="16" s="1"/>
  <c r="J23" i="1"/>
  <c r="J21" i="1"/>
  <c r="J24" i="1"/>
  <c r="J22" i="1"/>
  <c r="J25" i="1"/>
  <c r="I47" i="16"/>
  <c r="H47" i="16" s="1"/>
  <c r="G48" i="16" s="1"/>
  <c r="I21" i="1"/>
  <c r="I23" i="1"/>
  <c r="I24" i="1"/>
  <c r="I25" i="1"/>
  <c r="I22" i="1"/>
  <c r="E25" i="1"/>
  <c r="E21" i="1"/>
  <c r="E24" i="1"/>
  <c r="E22" i="1"/>
  <c r="E23" i="1"/>
  <c r="G24" i="1"/>
  <c r="G25" i="1"/>
  <c r="G21" i="1"/>
  <c r="G23" i="1"/>
  <c r="G22" i="1"/>
  <c r="J18" i="1"/>
  <c r="J14" i="1"/>
  <c r="J17" i="1"/>
  <c r="J15" i="1"/>
  <c r="J16" i="1"/>
  <c r="H24" i="1"/>
  <c r="H23" i="1"/>
  <c r="H22" i="1"/>
  <c r="H21" i="1"/>
  <c r="H25" i="1"/>
  <c r="F23" i="1"/>
  <c r="F24" i="1"/>
  <c r="F25" i="1"/>
  <c r="F22" i="1"/>
  <c r="F21" i="1"/>
  <c r="M25" i="1"/>
  <c r="M22" i="1"/>
  <c r="M23" i="1"/>
  <c r="M24" i="1"/>
  <c r="M21" i="1"/>
  <c r="M16" i="1"/>
  <c r="M18" i="1"/>
  <c r="M14" i="1"/>
  <c r="M15" i="1"/>
  <c r="M17" i="1"/>
  <c r="I14" i="1"/>
  <c r="I17" i="1"/>
  <c r="I15" i="1"/>
  <c r="I18" i="1"/>
  <c r="I16" i="1"/>
  <c r="E14" i="1"/>
  <c r="E16" i="1"/>
  <c r="E18" i="1"/>
  <c r="E17" i="1"/>
  <c r="E15" i="1"/>
  <c r="H16" i="1"/>
  <c r="H14" i="1"/>
  <c r="H17" i="1"/>
  <c r="H15" i="1"/>
  <c r="H18" i="1"/>
  <c r="K17" i="1"/>
  <c r="K18" i="1"/>
  <c r="K14" i="1"/>
  <c r="K15" i="1"/>
  <c r="K16" i="1"/>
  <c r="F15" i="1"/>
  <c r="F18" i="1"/>
  <c r="F17" i="1"/>
  <c r="F16" i="1"/>
  <c r="F14" i="1"/>
  <c r="L17" i="1"/>
  <c r="L16" i="1"/>
  <c r="L15" i="1"/>
  <c r="L14" i="1"/>
  <c r="L18" i="1"/>
  <c r="K24" i="1"/>
  <c r="K22" i="1"/>
  <c r="K25" i="1"/>
  <c r="K23" i="1"/>
  <c r="K21" i="1"/>
  <c r="L21" i="1"/>
  <c r="L22" i="1"/>
  <c r="L24" i="1"/>
  <c r="L25" i="1"/>
  <c r="L23" i="1"/>
  <c r="G14" i="1"/>
  <c r="G18" i="1"/>
  <c r="G16" i="1"/>
  <c r="G17" i="1"/>
  <c r="G15" i="1"/>
  <c r="I83" i="16" l="1"/>
  <c r="H83" i="16" s="1"/>
  <c r="G84" i="16"/>
  <c r="B58" i="16"/>
  <c r="B59" i="16"/>
  <c r="I8" i="16"/>
  <c r="H8" i="16" s="1"/>
  <c r="G9" i="16" s="1"/>
  <c r="I9" i="16" l="1"/>
  <c r="H9" i="16" s="1"/>
  <c r="G10" i="16"/>
  <c r="M22" i="19"/>
  <c r="C69" i="16"/>
  <c r="C70" i="16" s="1"/>
  <c r="C58" i="16" s="1"/>
  <c r="M12" i="19"/>
  <c r="B94" i="16"/>
  <c r="C105" i="16" s="1"/>
  <c r="C106" i="16" s="1"/>
  <c r="C94" i="16" s="1"/>
  <c r="B95" i="16"/>
  <c r="K13" i="20" l="1"/>
  <c r="K25" i="20" s="1"/>
  <c r="M13" i="20"/>
  <c r="M25" i="20" s="1"/>
  <c r="J13" i="20"/>
  <c r="J25" i="20" s="1"/>
  <c r="O13" i="20"/>
  <c r="O25" i="20" s="1"/>
  <c r="L13" i="20"/>
  <c r="L25" i="20" s="1"/>
  <c r="N13" i="20"/>
  <c r="N25" i="20" s="1"/>
  <c r="M28" i="19"/>
  <c r="N5" i="19" s="1"/>
  <c r="N28" i="19" s="1"/>
  <c r="Q13" i="19"/>
  <c r="Q25" i="19" s="1"/>
  <c r="O13" i="19"/>
  <c r="O25" i="19" s="1"/>
  <c r="N13" i="19"/>
  <c r="N25" i="19" s="1"/>
  <c r="P13" i="19"/>
  <c r="P25" i="19" s="1"/>
  <c r="M13" i="19"/>
  <c r="M25" i="19" s="1"/>
  <c r="I10" i="16"/>
  <c r="H10" i="16" s="1"/>
  <c r="G11" i="16" s="1"/>
  <c r="I11" i="16" l="1"/>
  <c r="H11" i="16" s="1"/>
  <c r="G12" i="16"/>
  <c r="P5" i="19"/>
  <c r="P28" i="19" s="1"/>
  <c r="R5" i="19" s="1"/>
  <c r="R28" i="19" s="1"/>
  <c r="O5" i="19"/>
  <c r="O28" i="19" s="1"/>
  <c r="Q5" i="19" s="1"/>
  <c r="Q28" i="19" s="1"/>
  <c r="N46" i="20"/>
  <c r="N42" i="20"/>
  <c r="N43" i="20"/>
  <c r="N44" i="20"/>
  <c r="N45" i="20"/>
  <c r="N33" i="20"/>
  <c r="N38" i="20"/>
  <c r="N35" i="20"/>
  <c r="N34" i="20"/>
  <c r="N32" i="20"/>
  <c r="N36" i="20"/>
  <c r="N37" i="20"/>
  <c r="Q32" i="19"/>
  <c r="Q34" i="19"/>
  <c r="Q36" i="19"/>
  <c r="Q38" i="19"/>
  <c r="Q43" i="19"/>
  <c r="Q45" i="19"/>
  <c r="Q37" i="19"/>
  <c r="Q42" i="19"/>
  <c r="Q33" i="19"/>
  <c r="Q44" i="19"/>
  <c r="Q35" i="19"/>
  <c r="Q46" i="19"/>
  <c r="O46" i="20"/>
  <c r="O42" i="20"/>
  <c r="O43" i="20"/>
  <c r="O44" i="20"/>
  <c r="O45" i="20"/>
  <c r="O35" i="20"/>
  <c r="O32" i="20"/>
  <c r="O38" i="20"/>
  <c r="O34" i="20"/>
  <c r="O37" i="20"/>
  <c r="O36" i="20"/>
  <c r="O33" i="20"/>
  <c r="L45" i="20"/>
  <c r="L46" i="20"/>
  <c r="L42" i="20"/>
  <c r="L43" i="20"/>
  <c r="L44" i="20"/>
  <c r="L35" i="20"/>
  <c r="L34" i="20"/>
  <c r="L33" i="20"/>
  <c r="L32" i="20"/>
  <c r="L38" i="20"/>
  <c r="L37" i="20"/>
  <c r="L36" i="20"/>
  <c r="P34" i="19"/>
  <c r="P36" i="19"/>
  <c r="P38" i="19"/>
  <c r="P43" i="19"/>
  <c r="P45" i="19"/>
  <c r="P33" i="19"/>
  <c r="P35" i="19"/>
  <c r="P37" i="19"/>
  <c r="P42" i="19"/>
  <c r="P44" i="19"/>
  <c r="P46" i="19"/>
  <c r="P32" i="19"/>
  <c r="J44" i="20"/>
  <c r="J45" i="20"/>
  <c r="J46" i="20"/>
  <c r="J42" i="20"/>
  <c r="J43" i="20"/>
  <c r="J34" i="20"/>
  <c r="J33" i="20"/>
  <c r="J32" i="20"/>
  <c r="J38" i="20"/>
  <c r="J35" i="20"/>
  <c r="J36" i="20"/>
  <c r="J37" i="20"/>
  <c r="J28" i="20"/>
  <c r="K5" i="20" s="1"/>
  <c r="K28" i="20" s="1"/>
  <c r="L5" i="20" s="1"/>
  <c r="L28" i="20" s="1"/>
  <c r="M5" i="20" s="1"/>
  <c r="M28" i="20" s="1"/>
  <c r="N5" i="20" s="1"/>
  <c r="N28" i="20" s="1"/>
  <c r="O5" i="20" s="1"/>
  <c r="O28" i="20" s="1"/>
  <c r="P5" i="20" s="1"/>
  <c r="P28" i="20" s="1"/>
  <c r="M45" i="19"/>
  <c r="M43" i="19"/>
  <c r="M46" i="19"/>
  <c r="M44" i="19"/>
  <c r="M42" i="19"/>
  <c r="M34" i="19"/>
  <c r="M33" i="19"/>
  <c r="M32" i="19"/>
  <c r="M38" i="19"/>
  <c r="M37" i="19"/>
  <c r="M36" i="19"/>
  <c r="M35" i="19"/>
  <c r="N46" i="19"/>
  <c r="N43" i="19"/>
  <c r="N44" i="19"/>
  <c r="N42" i="19"/>
  <c r="N45" i="19"/>
  <c r="N32" i="19"/>
  <c r="N37" i="19"/>
  <c r="N35" i="19"/>
  <c r="N34" i="19"/>
  <c r="N33" i="19"/>
  <c r="N36" i="19"/>
  <c r="N38" i="19"/>
  <c r="M45" i="20"/>
  <c r="M46" i="20"/>
  <c r="M42" i="20"/>
  <c r="M43" i="20"/>
  <c r="M44" i="20"/>
  <c r="M32" i="20"/>
  <c r="M33" i="20"/>
  <c r="M34" i="20"/>
  <c r="M37" i="20"/>
  <c r="M38" i="20"/>
  <c r="M36" i="20"/>
  <c r="M35" i="20"/>
  <c r="O34" i="19"/>
  <c r="O36" i="19"/>
  <c r="O38" i="19"/>
  <c r="O43" i="19"/>
  <c r="O45" i="19"/>
  <c r="O32" i="19"/>
  <c r="O33" i="19"/>
  <c r="O35" i="19"/>
  <c r="O37" i="19"/>
  <c r="O42" i="19"/>
  <c r="O44" i="19"/>
  <c r="O46" i="19"/>
  <c r="K44" i="20"/>
  <c r="K45" i="20"/>
  <c r="K46" i="20"/>
  <c r="K42" i="20"/>
  <c r="K43" i="20"/>
  <c r="K32" i="20"/>
  <c r="K38" i="20"/>
  <c r="K33" i="20"/>
  <c r="K34" i="20"/>
  <c r="K35" i="20"/>
  <c r="K36" i="20"/>
  <c r="K37" i="20"/>
  <c r="B22" i="16" l="1"/>
  <c r="B23" i="16"/>
  <c r="L12" i="18" l="1"/>
  <c r="C33" i="16"/>
  <c r="C34" i="16" s="1"/>
  <c r="C22" i="16" s="1"/>
  <c r="L22" i="18"/>
  <c r="T24" i="14"/>
  <c r="G35" i="14"/>
  <c r="G25" i="14"/>
  <c r="G20" i="14" s="1"/>
  <c r="T35" i="14"/>
  <c r="D35" i="14" l="1"/>
  <c r="E24" i="14"/>
  <c r="L28" i="18"/>
  <c r="M5" i="18" s="1"/>
  <c r="N13" i="18"/>
  <c r="N25" i="18" s="1"/>
  <c r="M13" i="18"/>
  <c r="M25" i="18" s="1"/>
  <c r="O13" i="18"/>
  <c r="O25" i="18" s="1"/>
  <c r="Q13" i="18"/>
  <c r="Q25" i="18" s="1"/>
  <c r="L13" i="18"/>
  <c r="L25" i="18" s="1"/>
  <c r="P13" i="18"/>
  <c r="P25" i="18" s="1"/>
  <c r="AZ37" i="14"/>
  <c r="Z25" i="14"/>
  <c r="Z20" i="14" s="1"/>
  <c r="AR25" i="14"/>
  <c r="AR20" i="14" s="1"/>
  <c r="X25" i="14"/>
  <c r="X20" i="14" s="1"/>
  <c r="BE25" i="14"/>
  <c r="BE20" i="14" s="1"/>
  <c r="BB37" i="14"/>
  <c r="AF37" i="14"/>
  <c r="X37" i="14"/>
  <c r="AB37" i="14"/>
  <c r="AA37" i="14"/>
  <c r="BF25" i="14"/>
  <c r="BF20" i="14" s="1"/>
  <c r="BB25" i="14"/>
  <c r="BB20" i="14" s="1"/>
  <c r="AC37" i="14"/>
  <c r="AN37" i="14"/>
  <c r="AA25" i="14"/>
  <c r="AA20" i="14" s="1"/>
  <c r="AQ37" i="14"/>
  <c r="AM25" i="14"/>
  <c r="AM20" i="14" s="1"/>
  <c r="AB25" i="14"/>
  <c r="AB20" i="14" s="1"/>
  <c r="AW37" i="14"/>
  <c r="AN25" i="14"/>
  <c r="AN20" i="14" s="1"/>
  <c r="BF37" i="14"/>
  <c r="AW25" i="14"/>
  <c r="AW20" i="14" s="1"/>
  <c r="AK25" i="14"/>
  <c r="AK20" i="14" s="1"/>
  <c r="V37" i="14"/>
  <c r="AY25" i="14"/>
  <c r="AY20" i="14" s="1"/>
  <c r="AV37" i="14"/>
  <c r="AH37" i="14"/>
  <c r="AP37" i="14"/>
  <c r="BE37" i="14"/>
  <c r="T25" i="14"/>
  <c r="T20" i="14" s="1"/>
  <c r="BD37" i="14"/>
  <c r="AY37" i="14"/>
  <c r="AH25" i="14"/>
  <c r="AH20" i="14" s="1"/>
  <c r="AX25" i="14"/>
  <c r="AX20" i="14" s="1"/>
  <c r="BD25" i="14"/>
  <c r="BD20" i="14" s="1"/>
  <c r="W25" i="14"/>
  <c r="W20" i="14" s="1"/>
  <c r="AK37" i="14"/>
  <c r="BC25" i="14"/>
  <c r="BC20" i="14" s="1"/>
  <c r="BG37" i="14"/>
  <c r="AS25" i="14"/>
  <c r="AS20" i="14" s="1"/>
  <c r="Y25" i="14"/>
  <c r="Y20" i="14" s="1"/>
  <c r="BC37" i="14"/>
  <c r="AG37" i="14"/>
  <c r="AR37" i="14"/>
  <c r="AQ25" i="14"/>
  <c r="AQ20" i="14" s="1"/>
  <c r="BG25" i="14"/>
  <c r="BG20" i="14" s="1"/>
  <c r="AD37" i="14"/>
  <c r="AL25" i="14"/>
  <c r="AL20" i="14" s="1"/>
  <c r="T37" i="14"/>
  <c r="AE25" i="14"/>
  <c r="AE20" i="14" s="1"/>
  <c r="AC25" i="14"/>
  <c r="AC20" i="14" s="1"/>
  <c r="AF25" i="14"/>
  <c r="AF20" i="14" s="1"/>
  <c r="AG25" i="14"/>
  <c r="AG20" i="14" s="1"/>
  <c r="AI25" i="14"/>
  <c r="AI20" i="14" s="1"/>
  <c r="AS37" i="14"/>
  <c r="AV25" i="14"/>
  <c r="AV20" i="14" s="1"/>
  <c r="AO25" i="14"/>
  <c r="AO20" i="14" s="1"/>
  <c r="AT25" i="14"/>
  <c r="AT20" i="14" s="1"/>
  <c r="AI37" i="14"/>
  <c r="AU25" i="14"/>
  <c r="AU20" i="14" s="1"/>
  <c r="Z37" i="14"/>
  <c r="AJ37" i="14"/>
  <c r="AO37" i="14"/>
  <c r="W37" i="14"/>
  <c r="V25" i="14"/>
  <c r="V20" i="14" s="1"/>
  <c r="AX37" i="14"/>
  <c r="U25" i="14"/>
  <c r="U20" i="14" s="1"/>
  <c r="AP25" i="14"/>
  <c r="AP20" i="14" s="1"/>
  <c r="AM37" i="14"/>
  <c r="AZ25" i="14"/>
  <c r="AZ20" i="14" s="1"/>
  <c r="AT37" i="14"/>
  <c r="AL37" i="14"/>
  <c r="BA37" i="14"/>
  <c r="AJ25" i="14"/>
  <c r="AJ20" i="14" s="1"/>
  <c r="AD25" i="14"/>
  <c r="AD20" i="14" s="1"/>
  <c r="AE37" i="14"/>
  <c r="AU37" i="14"/>
  <c r="U37" i="14"/>
  <c r="Y37" i="14"/>
  <c r="BA25" i="14"/>
  <c r="BA20" i="14" s="1"/>
  <c r="AI41" i="14" l="1"/>
  <c r="AI42" i="14"/>
  <c r="AI40" i="14"/>
  <c r="AI43" i="14"/>
  <c r="AI28" i="14"/>
  <c r="AI3" i="14" s="1"/>
  <c r="AG42" i="14"/>
  <c r="AG40" i="14"/>
  <c r="AG41" i="14"/>
  <c r="AG43" i="14"/>
  <c r="AG28" i="14"/>
  <c r="AG3" i="14" s="1"/>
  <c r="AH43" i="14"/>
  <c r="AH42" i="14"/>
  <c r="AH28" i="14"/>
  <c r="AH3" i="14" s="1"/>
  <c r="AH40" i="14"/>
  <c r="AH41" i="14"/>
  <c r="AW40" i="14"/>
  <c r="AW28" i="14"/>
  <c r="AW3" i="14" s="1"/>
  <c r="O3" i="1"/>
  <c r="O4" i="1" s="1"/>
  <c r="AW41" i="14"/>
  <c r="AW43" i="14"/>
  <c r="AW42" i="14"/>
  <c r="N46" i="18"/>
  <c r="N43" i="18"/>
  <c r="N42" i="18"/>
  <c r="N45" i="18"/>
  <c r="N44" i="18"/>
  <c r="N38" i="18"/>
  <c r="N35" i="18"/>
  <c r="N32" i="18"/>
  <c r="N36" i="18"/>
  <c r="N37" i="18"/>
  <c r="N34" i="18"/>
  <c r="N33" i="18"/>
  <c r="BC42" i="14"/>
  <c r="BC28" i="14"/>
  <c r="BC3" i="14" s="1"/>
  <c r="BC41" i="14"/>
  <c r="BC43" i="14"/>
  <c r="BC40" i="14"/>
  <c r="AV28" i="14"/>
  <c r="AV3" i="14" s="1"/>
  <c r="AV40" i="14"/>
  <c r="AV41" i="14"/>
  <c r="AV43" i="14"/>
  <c r="AV42" i="14"/>
  <c r="AA43" i="14"/>
  <c r="AA41" i="14"/>
  <c r="AA40" i="14"/>
  <c r="AA42" i="14"/>
  <c r="AA28" i="14"/>
  <c r="AA3" i="14" s="1"/>
  <c r="M28" i="18"/>
  <c r="N5" i="18" s="1"/>
  <c r="N28" i="18" s="1"/>
  <c r="O5" i="18" s="1"/>
  <c r="O28" i="18" s="1"/>
  <c r="P5" i="18" s="1"/>
  <c r="P28" i="18" s="1"/>
  <c r="Q5" i="18" s="1"/>
  <c r="Q28" i="18" s="1"/>
  <c r="R5" i="18" s="1"/>
  <c r="R28" i="18" s="1"/>
  <c r="M43" i="18"/>
  <c r="M45" i="18"/>
  <c r="M44" i="18"/>
  <c r="M42" i="18"/>
  <c r="M46" i="18"/>
  <c r="M38" i="18"/>
  <c r="M35" i="18"/>
  <c r="M32" i="18"/>
  <c r="M34" i="18"/>
  <c r="M36" i="18"/>
  <c r="M33" i="18"/>
  <c r="M37" i="18"/>
  <c r="N3" i="1"/>
  <c r="N4" i="1" s="1"/>
  <c r="T42" i="14"/>
  <c r="T41" i="14"/>
  <c r="T40" i="14"/>
  <c r="T43" i="14"/>
  <c r="D37" i="14"/>
  <c r="E37" i="14" s="1"/>
  <c r="G37" i="14"/>
  <c r="G28" i="14" s="1"/>
  <c r="G3" i="14" s="1"/>
  <c r="AB41" i="14"/>
  <c r="AB43" i="14"/>
  <c r="AB42" i="14"/>
  <c r="AB28" i="14"/>
  <c r="AB3" i="14" s="1"/>
  <c r="AB40" i="14"/>
  <c r="AZ28" i="14"/>
  <c r="AZ3" i="14" s="1"/>
  <c r="AZ41" i="14"/>
  <c r="AZ40" i="14"/>
  <c r="AZ42" i="14"/>
  <c r="AZ43" i="14"/>
  <c r="AP40" i="14"/>
  <c r="AP42" i="14"/>
  <c r="AP41" i="14"/>
  <c r="AP43" i="14"/>
  <c r="AP28" i="14"/>
  <c r="AP3" i="14" s="1"/>
  <c r="BA28" i="14"/>
  <c r="BA3" i="14" s="1"/>
  <c r="BA41" i="14"/>
  <c r="BA43" i="14"/>
  <c r="BA40" i="14"/>
  <c r="BA42" i="14"/>
  <c r="AL43" i="14"/>
  <c r="AL40" i="14"/>
  <c r="AL41" i="14"/>
  <c r="AL28" i="14"/>
  <c r="AL3" i="14" s="1"/>
  <c r="AL42" i="14"/>
  <c r="W43" i="14"/>
  <c r="W40" i="14"/>
  <c r="W42" i="14"/>
  <c r="W41" i="14"/>
  <c r="W28" i="14"/>
  <c r="W3" i="14" s="1"/>
  <c r="AY28" i="14"/>
  <c r="AY3" i="14" s="1"/>
  <c r="AY41" i="14"/>
  <c r="AY43" i="14"/>
  <c r="AY42" i="14"/>
  <c r="AY40" i="14"/>
  <c r="V40" i="14"/>
  <c r="V43" i="14"/>
  <c r="V42" i="14"/>
  <c r="V41" i="14"/>
  <c r="AQ42" i="14"/>
  <c r="AQ40" i="14"/>
  <c r="AQ28" i="14"/>
  <c r="AQ3" i="14" s="1"/>
  <c r="AQ43" i="14"/>
  <c r="AQ41" i="14"/>
  <c r="X40" i="14"/>
  <c r="X28" i="14"/>
  <c r="X3" i="14" s="1"/>
  <c r="X41" i="14"/>
  <c r="X43" i="14"/>
  <c r="X42" i="14"/>
  <c r="P46" i="18"/>
  <c r="P43" i="18"/>
  <c r="P45" i="18"/>
  <c r="P42" i="18"/>
  <c r="P44" i="18"/>
  <c r="P35" i="18"/>
  <c r="P32" i="18"/>
  <c r="P36" i="18"/>
  <c r="P33" i="18"/>
  <c r="P37" i="18"/>
  <c r="P34" i="18"/>
  <c r="P38" i="18"/>
  <c r="AR28" i="14"/>
  <c r="AR3" i="14" s="1"/>
  <c r="AR43" i="14"/>
  <c r="AR41" i="14"/>
  <c r="AR42" i="14"/>
  <c r="AR40" i="14"/>
  <c r="AT41" i="14"/>
  <c r="AT42" i="14"/>
  <c r="AT28" i="14"/>
  <c r="AT3" i="14" s="1"/>
  <c r="AT43" i="14"/>
  <c r="AT40" i="14"/>
  <c r="AO40" i="14"/>
  <c r="AO41" i="14"/>
  <c r="AO43" i="14"/>
  <c r="AO28" i="14"/>
  <c r="AO3" i="14" s="1"/>
  <c r="AO42" i="14"/>
  <c r="AS41" i="14"/>
  <c r="AS28" i="14"/>
  <c r="AS3" i="14" s="1"/>
  <c r="AS43" i="14"/>
  <c r="AS42" i="14"/>
  <c r="AS40" i="14"/>
  <c r="AD41" i="14"/>
  <c r="AD28" i="14"/>
  <c r="AD3" i="14" s="1"/>
  <c r="AD40" i="14"/>
  <c r="AD42" i="14"/>
  <c r="AD43" i="14"/>
  <c r="BG41" i="14"/>
  <c r="BG40" i="14"/>
  <c r="BG43" i="14"/>
  <c r="BG28" i="14"/>
  <c r="BG3" i="14" s="1"/>
  <c r="BG42" i="14"/>
  <c r="BD42" i="14"/>
  <c r="BD41" i="14"/>
  <c r="BD40" i="14"/>
  <c r="BD28" i="14"/>
  <c r="BD3" i="14" s="1"/>
  <c r="BD43" i="14"/>
  <c r="AF40" i="14"/>
  <c r="AF28" i="14"/>
  <c r="AF3" i="14" s="1"/>
  <c r="AF42" i="14"/>
  <c r="AF43" i="14"/>
  <c r="AF41" i="14"/>
  <c r="L45" i="18"/>
  <c r="L42" i="18"/>
  <c r="L44" i="18"/>
  <c r="L46" i="18"/>
  <c r="L43" i="18"/>
  <c r="L35" i="18"/>
  <c r="L32" i="18"/>
  <c r="L33" i="18"/>
  <c r="L37" i="18"/>
  <c r="L34" i="18"/>
  <c r="L38" i="18"/>
  <c r="L36" i="18"/>
  <c r="AE41" i="14"/>
  <c r="AE40" i="14"/>
  <c r="AE43" i="14"/>
  <c r="AE28" i="14"/>
  <c r="AE3" i="14" s="1"/>
  <c r="AE42" i="14"/>
  <c r="U42" i="14"/>
  <c r="U41" i="14"/>
  <c r="U43" i="14"/>
  <c r="U40" i="14"/>
  <c r="AJ40" i="14"/>
  <c r="AJ28" i="14"/>
  <c r="AJ3" i="14" s="1"/>
  <c r="AJ42" i="14"/>
  <c r="AJ43" i="14"/>
  <c r="AJ41" i="14"/>
  <c r="E25" i="14"/>
  <c r="E20" i="14" s="1"/>
  <c r="AN42" i="14"/>
  <c r="AN41" i="14"/>
  <c r="AN28" i="14"/>
  <c r="AN3" i="14" s="1"/>
  <c r="AN40" i="14"/>
  <c r="AN43" i="14"/>
  <c r="BB40" i="14"/>
  <c r="BB43" i="14"/>
  <c r="BB41" i="14"/>
  <c r="BB42" i="14"/>
  <c r="BB28" i="14"/>
  <c r="BB3" i="14" s="1"/>
  <c r="Q32" i="18"/>
  <c r="Q36" i="18"/>
  <c r="Q43" i="18"/>
  <c r="Q33" i="18"/>
  <c r="Q37" i="18"/>
  <c r="Q44" i="18"/>
  <c r="Q34" i="18"/>
  <c r="Q38" i="18"/>
  <c r="Q45" i="18"/>
  <c r="Q42" i="18"/>
  <c r="Q46" i="18"/>
  <c r="Q35" i="18"/>
  <c r="T28" i="14"/>
  <c r="T3" i="14" s="1"/>
  <c r="U36" i="14" s="1"/>
  <c r="U28" i="14" s="1"/>
  <c r="U3" i="14" s="1"/>
  <c r="V36" i="14" s="1"/>
  <c r="V28" i="14" s="1"/>
  <c r="V3" i="14" s="1"/>
  <c r="AX42" i="14"/>
  <c r="AX41" i="14"/>
  <c r="AX28" i="14"/>
  <c r="AX3" i="14" s="1"/>
  <c r="AX40" i="14"/>
  <c r="AX43" i="14"/>
  <c r="Y43" i="14"/>
  <c r="Y28" i="14"/>
  <c r="Y3" i="14" s="1"/>
  <c r="Y42" i="14"/>
  <c r="Y41" i="14"/>
  <c r="Y40" i="14"/>
  <c r="AU42" i="14"/>
  <c r="AU41" i="14"/>
  <c r="AU28" i="14"/>
  <c r="AU3" i="14" s="1"/>
  <c r="AU40" i="14"/>
  <c r="AU43" i="14"/>
  <c r="AM41" i="14"/>
  <c r="AM42" i="14"/>
  <c r="AM28" i="14"/>
  <c r="AM3" i="14" s="1"/>
  <c r="AM40" i="14"/>
  <c r="AM43" i="14"/>
  <c r="Z42" i="14"/>
  <c r="Z41" i="14"/>
  <c r="Z43" i="14"/>
  <c r="Z40" i="14"/>
  <c r="Z28" i="14"/>
  <c r="Z3" i="14" s="1"/>
  <c r="AK41" i="14"/>
  <c r="AK42" i="14"/>
  <c r="AK28" i="14"/>
  <c r="AK3" i="14" s="1"/>
  <c r="AK43" i="14"/>
  <c r="AK40" i="14"/>
  <c r="BE40" i="14"/>
  <c r="BE41" i="14"/>
  <c r="BE43" i="14"/>
  <c r="BE28" i="14"/>
  <c r="BE3" i="14" s="1"/>
  <c r="BE42" i="14"/>
  <c r="BF41" i="14"/>
  <c r="BF28" i="14"/>
  <c r="BF3" i="14" s="1"/>
  <c r="BF42" i="14"/>
  <c r="BF43" i="14"/>
  <c r="BF40" i="14"/>
  <c r="AC42" i="14"/>
  <c r="AC40" i="14"/>
  <c r="AC43" i="14"/>
  <c r="AC41" i="14"/>
  <c r="AC28" i="14"/>
  <c r="AC3" i="14" s="1"/>
  <c r="O32" i="18"/>
  <c r="O34" i="18"/>
  <c r="O42" i="18"/>
  <c r="O35" i="18"/>
  <c r="O43" i="18"/>
  <c r="O36" i="18"/>
  <c r="O44" i="18"/>
  <c r="O37" i="18"/>
  <c r="O45" i="18"/>
  <c r="O46" i="18"/>
  <c r="O33" i="18"/>
  <c r="O38" i="18"/>
  <c r="E35" i="14"/>
  <c r="D28" i="14"/>
  <c r="N9" i="1" l="1"/>
  <c r="N31" i="1"/>
  <c r="N34" i="1"/>
  <c r="N35" i="1"/>
  <c r="N32" i="1"/>
  <c r="N8" i="1"/>
  <c r="N30" i="1"/>
  <c r="N7" i="1"/>
  <c r="N29" i="1"/>
  <c r="N33" i="1"/>
  <c r="N28" i="1"/>
  <c r="N11" i="1"/>
  <c r="N10" i="1"/>
  <c r="E28" i="14"/>
  <c r="E3" i="14" s="1"/>
  <c r="B50" i="18"/>
  <c r="O10" i="1"/>
  <c r="O11" i="1"/>
  <c r="O7" i="1"/>
  <c r="O35" i="1"/>
  <c r="O8" i="1"/>
  <c r="O31" i="1"/>
  <c r="O33" i="1"/>
  <c r="O32" i="1"/>
  <c r="O29" i="1"/>
  <c r="O30" i="1"/>
  <c r="O28" i="1"/>
  <c r="O9" i="1"/>
  <c r="O34" i="1"/>
  <c r="O15" i="1" l="1"/>
  <c r="O14" i="1"/>
  <c r="O16" i="1"/>
  <c r="O17" i="1"/>
  <c r="O18" i="1"/>
  <c r="N24" i="1"/>
  <c r="N25" i="1"/>
  <c r="N21" i="1"/>
  <c r="N23" i="1"/>
  <c r="N22" i="1"/>
  <c r="O24" i="1"/>
  <c r="O21" i="1"/>
  <c r="O23" i="1"/>
  <c r="O25" i="1"/>
  <c r="O22" i="1"/>
  <c r="N14" i="1"/>
  <c r="N17" i="1"/>
  <c r="N15" i="1"/>
  <c r="N18" i="1"/>
  <c r="N16" i="1"/>
</calcChain>
</file>

<file path=xl/comments1.xml><?xml version="1.0" encoding="utf-8"?>
<comments xmlns="http://schemas.openxmlformats.org/spreadsheetml/2006/main">
  <authors>
    <author>Author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All of these include the estimated cost to deliver from Holthouse to the Sac River</t>
        </r>
      </text>
    </comment>
  </commentList>
</comments>
</file>

<file path=xl/sharedStrings.xml><?xml version="1.0" encoding="utf-8"?>
<sst xmlns="http://schemas.openxmlformats.org/spreadsheetml/2006/main" count="754" uniqueCount="430">
  <si>
    <t>CWC Staff Recommendation</t>
  </si>
  <si>
    <t>Sites Project Authority Revised Request</t>
  </si>
  <si>
    <t>Sites Project Authority Original Request</t>
  </si>
  <si>
    <t>CWC Actual Award (July)</t>
  </si>
  <si>
    <t>Index</t>
  </si>
  <si>
    <t>–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</si>
  <si>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</si>
  <si>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</si>
  <si>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</si>
  <si>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</si>
  <si>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</si>
  <si>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</si>
  <si>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</si>
  <si>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</si>
  <si>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</si>
  <si>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</si>
  <si>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</si>
  <si>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</si>
  <si>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</si>
  <si>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Avg</t>
  </si>
  <si>
    <t>Annual Change %</t>
  </si>
  <si>
    <t>Years Ahead</t>
  </si>
  <si>
    <t>Change From 2017</t>
  </si>
  <si>
    <t>Year of Cost</t>
  </si>
  <si>
    <t>The following numbers were derived from the 2014 TEPPC Calculator which was developed for WECC by Black &amp; Veatch.</t>
  </si>
  <si>
    <t>Bureau of Reclamation uses 5% of Annualized (50 yrs period) Construction Cost as a Feasibility Cost Estimate for O&amp;M</t>
  </si>
  <si>
    <t>Vary from $120,000 to Millions</t>
  </si>
  <si>
    <t>Diamond Valley Escalation to 2015 dollars</t>
  </si>
  <si>
    <t>Budgeted</t>
  </si>
  <si>
    <t>Ratio</t>
  </si>
  <si>
    <t>2015 value</t>
  </si>
  <si>
    <t>Have a cost overrun</t>
  </si>
  <si>
    <t>median cost overrun for North American Dams</t>
  </si>
  <si>
    <t>all areas cost overrun average</t>
  </si>
  <si>
    <t>median cost overrun for all areas</t>
  </si>
  <si>
    <t>have schedule overruns</t>
  </si>
  <si>
    <t>mean schedule overrun</t>
  </si>
  <si>
    <t>international average overrun</t>
  </si>
  <si>
    <t>median schedule overrun</t>
  </si>
  <si>
    <t>of mega projects (all types) fail to meet expectations (under estimated budget or over estimated benefits)</t>
  </si>
  <si>
    <t>Low end - each year of schedule overrun equates to cost overrun
High end - each year of schedule overrun equates to cost overrun</t>
  </si>
  <si>
    <t>Dam specific information</t>
  </si>
  <si>
    <t>Best Case Mitigated  Total Project Cost</t>
  </si>
  <si>
    <t>Worst Case Mitigated Total Project Cost</t>
  </si>
  <si>
    <t>80% Confidence Level Mitigated Total Project Cost</t>
  </si>
  <si>
    <t>Base Scenario</t>
  </si>
  <si>
    <t>Best Case Unmitigated  Total Project Cost</t>
  </si>
  <si>
    <t>Worst Case Unmitigated Total Project Cost</t>
  </si>
  <si>
    <t>80% Confidence Level Unmitigated Total Project Cost</t>
  </si>
  <si>
    <t>Scenario</t>
  </si>
  <si>
    <t>Annual Average Quantity Available (Acre-Feet)</t>
  </si>
  <si>
    <t>Reservoir Committee decision to enter Phase 2 rebalancing</t>
  </si>
  <si>
    <t>CH2 Model Runs (Wilkins Slough Bypass Flows)</t>
  </si>
  <si>
    <t>5,000 cfs</t>
  </si>
  <si>
    <t>6,000 cfs</t>
  </si>
  <si>
    <t>7,000 cfs</t>
  </si>
  <si>
    <t>8,000 cfs</t>
  </si>
  <si>
    <t>10,000 cfs</t>
  </si>
  <si>
    <t>12,000 cfs</t>
  </si>
  <si>
    <t>Total amount of funding available nationwide from WIIN Act for storage projects</t>
  </si>
  <si>
    <t>Funding available</t>
  </si>
  <si>
    <t>Sum</t>
  </si>
  <si>
    <t>New Water Act  (Not yet a law)</t>
  </si>
  <si>
    <t>Escalate 2015 to 2027</t>
  </si>
  <si>
    <t>2027 Dollars</t>
  </si>
  <si>
    <t>Advanced Funding Request</t>
  </si>
  <si>
    <t>Phase 2 Total</t>
  </si>
  <si>
    <t>Phase 3 Total</t>
  </si>
  <si>
    <t>Phase 4 Total</t>
  </si>
  <si>
    <t>Project Total</t>
  </si>
  <si>
    <t>Construction Contingency</t>
  </si>
  <si>
    <t>Design Contingency</t>
  </si>
  <si>
    <t>Capital Cost (no contingency)</t>
  </si>
  <si>
    <t>Total Funds</t>
  </si>
  <si>
    <t>WIIN Act</t>
  </si>
  <si>
    <t>USDA Loan</t>
  </si>
  <si>
    <t>Prop 1 Funds</t>
  </si>
  <si>
    <t>Remaining</t>
  </si>
  <si>
    <t>Annual Payment (@ 2.5% interest rate over 40 years)</t>
  </si>
  <si>
    <t>Annual Payment (@ 2% interest rate over 40 years)</t>
  </si>
  <si>
    <t>Annual Payment (@ 3% interest rate over 40 years)</t>
  </si>
  <si>
    <t>Annual Payment (@ 2.5% interest rate over 30 years)</t>
  </si>
  <si>
    <t>Annual Payment (@ 2% interest rate over 30 years)</t>
  </si>
  <si>
    <t>Annual Payment (@ 3% interest rate over 30 years)</t>
  </si>
  <si>
    <t>Funding Balance</t>
  </si>
  <si>
    <t>Early Project Line of Credit</t>
  </si>
  <si>
    <t>Construction Bond/Loan</t>
  </si>
  <si>
    <t>Construction Bond/Loan Repayment</t>
  </si>
  <si>
    <t>2021 Dollars</t>
  </si>
  <si>
    <t>2030 Dollars</t>
  </si>
  <si>
    <t>Escalate 2015 to 2021</t>
  </si>
  <si>
    <t>Escalate 2015 to 2030</t>
  </si>
  <si>
    <t>Escalate 2017 to 2027</t>
  </si>
  <si>
    <t>Pre-construction Costs</t>
  </si>
  <si>
    <t>Estimated value of USDA Low Interest Loan (assume 3 &amp;7/8% interest rate) : Would be used for Red Bluff Pumps and other ancillary purposes</t>
  </si>
  <si>
    <t>Annual Payment (@ 3 &amp; 7/8% interest rate over 30 years)</t>
  </si>
  <si>
    <t>Amount Borrowed</t>
  </si>
  <si>
    <t>Annual Payment</t>
  </si>
  <si>
    <t>Total</t>
  </si>
  <si>
    <t>Cummulative over Phase 2</t>
  </si>
  <si>
    <t>Investor Payments</t>
  </si>
  <si>
    <t>Sites Risk Assessment estimate over 97 yrs (start 2030)</t>
  </si>
  <si>
    <t>per year</t>
  </si>
  <si>
    <t>Utility Connection</t>
  </si>
  <si>
    <t>Operations &amp; Maintenance</t>
  </si>
  <si>
    <t>Water Quality &amp; Mitigation Monitoring</t>
  </si>
  <si>
    <t>Sites Risk Assessment Assumption $175 M over 97 yrs beginning 2030</t>
  </si>
  <si>
    <t>Annual</t>
  </si>
  <si>
    <t>Annual Payments</t>
  </si>
  <si>
    <t>Consolidation Loan/Bond</t>
  </si>
  <si>
    <t>This is rolled into Construction Bond at start of phase 3</t>
  </si>
  <si>
    <t>Payment</t>
  </si>
  <si>
    <t>Interest</t>
  </si>
  <si>
    <t>Balance Refinanced</t>
  </si>
  <si>
    <t>O&amp;M Phase</t>
  </si>
  <si>
    <t>300,000 AF for Investors</t>
  </si>
  <si>
    <t>260,000 AF for Investors</t>
  </si>
  <si>
    <t>240,000 AF for Investors</t>
  </si>
  <si>
    <t>200,000 AF for Investors</t>
  </si>
  <si>
    <r>
      <t xml:space="preserve">Annual Payment </t>
    </r>
    <r>
      <rPr>
        <sz val="11"/>
        <color rgb="FFFF0000"/>
        <rFont val="Calibri"/>
        <family val="2"/>
        <scheme val="minor"/>
      </rPr>
      <t>30 years **Not Used</t>
    </r>
  </si>
  <si>
    <r>
      <t xml:space="preserve">Annual Payment </t>
    </r>
    <r>
      <rPr>
        <sz val="11"/>
        <color rgb="FFFF0000"/>
        <rFont val="Calibri"/>
        <family val="2"/>
        <scheme val="minor"/>
      </rPr>
      <t>40 years</t>
    </r>
  </si>
  <si>
    <t>Annual Repayment</t>
  </si>
  <si>
    <r>
      <t>CWC Upper Cap</t>
    </r>
    <r>
      <rPr>
        <vertAlign val="superscript"/>
        <sz val="11"/>
        <color theme="1"/>
        <rFont val="Calibri"/>
        <family val="2"/>
        <scheme val="minor"/>
      </rPr>
      <t>12</t>
    </r>
  </si>
  <si>
    <t>1- Re-revised from $1,008,000,000 during B:C ratio revision to get B:C to 1.1
2-Further revised to $916.62M</t>
  </si>
  <si>
    <t>Early Line of Credit Interest Payment (and Principal)</t>
  </si>
  <si>
    <t>Consolidation Loan/Bond Repayment (incld Interest)</t>
  </si>
  <si>
    <t>Construction Non-contract Costs (10.5% of Constr Cost)</t>
  </si>
  <si>
    <t>USDA Loan Repayment (Incldg Interest 3 &amp;7/8%)</t>
  </si>
  <si>
    <t>Loan/Credit Payments (Expense)</t>
  </si>
  <si>
    <t>Construction Costs (Expense)</t>
  </si>
  <si>
    <t>Post Construction Costs (Expense)</t>
  </si>
  <si>
    <t>Year (dollars in 2015 dollars)</t>
  </si>
  <si>
    <t>bond rate</t>
  </si>
  <si>
    <t>payments per year</t>
  </si>
  <si>
    <t>debt period</t>
  </si>
  <si>
    <t>Annual debt service</t>
  </si>
  <si>
    <t>Loan Principal</t>
  </si>
  <si>
    <t>Construction Loan 2nd Draught</t>
  </si>
  <si>
    <t>Construction Loan 3rd Draught</t>
  </si>
  <si>
    <t>Combined Loan (Refinance at end)</t>
  </si>
  <si>
    <t>Project Carry Over from Previsous Year</t>
  </si>
  <si>
    <t>Investor Payment per A-F (2021 dollars)</t>
  </si>
  <si>
    <t>Investor Payment (2015 dollars)</t>
  </si>
  <si>
    <t>225,000 AF for Investors</t>
  </si>
  <si>
    <t>Cost Per Acre Foot (2021 dollars):</t>
  </si>
  <si>
    <t>Cost for percentage of project</t>
  </si>
  <si>
    <t>20,000 Acre Feet</t>
  </si>
  <si>
    <t>15,000 Acre Feet</t>
  </si>
  <si>
    <t>10,000 Acre Feet</t>
  </si>
  <si>
    <t>5,000 Acre Feet</t>
  </si>
  <si>
    <t>2,000 Acre Feet</t>
  </si>
  <si>
    <t>Cost of Yield (225,000 AF annual yield)</t>
  </si>
  <si>
    <t>Cost of Yield (260,000 AF annual yield)</t>
  </si>
  <si>
    <t>***Assumption - $700,000,000 of Federal Investment Grant</t>
  </si>
  <si>
    <t>Phase 2A</t>
  </si>
  <si>
    <t>Phase 2B</t>
  </si>
  <si>
    <t>Phase 3</t>
  </si>
  <si>
    <t>O&amp;M</t>
  </si>
  <si>
    <t>Phase 2 (A&amp;B)</t>
  </si>
  <si>
    <t>Scenario 80%
80% Confidence Mark</t>
  </si>
  <si>
    <t>Scenario Worst
High Cost - Long Schedule</t>
  </si>
  <si>
    <t>Scenario Best
Low Cost - Short Schedule</t>
  </si>
  <si>
    <t>Check
Column</t>
  </si>
  <si>
    <t>Pre-construction Costs (not included in Risk Assessment)</t>
  </si>
  <si>
    <t>Phase 4
Start Nov 2022  --  End March 2029</t>
  </si>
  <si>
    <t>Phase 4
Start Sept 2023  --  End Oct 2030</t>
  </si>
  <si>
    <t>Phase 4
Start Nov 2021  --  June 2027</t>
  </si>
  <si>
    <t>Non-contract Cost Contingency</t>
  </si>
  <si>
    <t>Construction Non-contract Costs (CM/PM)</t>
  </si>
  <si>
    <t>Beginning Balance</t>
  </si>
  <si>
    <t>Expenses</t>
  </si>
  <si>
    <t>Escalate 2015 to 2031</t>
  </si>
  <si>
    <t>Escalate 2015 to 2019</t>
  </si>
  <si>
    <t>Escalate 2015 to 2020</t>
  </si>
  <si>
    <t>Escalate 2015 to 2022</t>
  </si>
  <si>
    <t>Escalate 2015 to 2023</t>
  </si>
  <si>
    <t>Escalate 2015 to 2024</t>
  </si>
  <si>
    <t>Escalate 2015 to 2025</t>
  </si>
  <si>
    <t>Escalate 2015 to 2026</t>
  </si>
  <si>
    <t>Escalate 2015 to 2028</t>
  </si>
  <si>
    <t>Escalate 2015 to 2029</t>
  </si>
  <si>
    <t>Contracts</t>
  </si>
  <si>
    <t>Income</t>
  </si>
  <si>
    <t>USDA Loan Draw</t>
  </si>
  <si>
    <t>Line of Credit Draw</t>
  </si>
  <si>
    <t>Interim Construction Bond Draw</t>
  </si>
  <si>
    <t>Consolidation Bond Draw</t>
  </si>
  <si>
    <t>Check</t>
  </si>
  <si>
    <t>Interest on Line of Credit</t>
  </si>
  <si>
    <t>Ending Balance</t>
  </si>
  <si>
    <t>Interest on Interim Bond</t>
  </si>
  <si>
    <t>Assumes 2.5% Interest Rate</t>
  </si>
  <si>
    <t>Payoff Line of Credit</t>
  </si>
  <si>
    <t>Assumes 4% -- Annual interestbonds</t>
  </si>
  <si>
    <t>Annual Cost plus Credit Line rolled over into
First Draft</t>
  </si>
  <si>
    <t>Construction Loans (First Draft)</t>
  </si>
  <si>
    <t>First Draft</t>
  </si>
  <si>
    <t>Second Draft</t>
  </si>
  <si>
    <t>Third</t>
  </si>
  <si>
    <t>Combined Loan/Bond Repayment **5%  Assume start of 2030</t>
  </si>
  <si>
    <t>Cost Per AF</t>
  </si>
  <si>
    <t>Payoff Interim Bond</t>
  </si>
  <si>
    <t>Escalation Rate  (CPI Projection)</t>
  </si>
  <si>
    <t>Payment of Consolidation Bond</t>
  </si>
  <si>
    <t>USDA Loan Repayment</t>
  </si>
  <si>
    <t>Investor Payments
(interest only during construction)
Payoff post Construction &amp; O&amp;M</t>
  </si>
  <si>
    <t>O&amp;M and Monitoring</t>
  </si>
  <si>
    <t>80% CL</t>
  </si>
  <si>
    <t>Worst Case</t>
  </si>
  <si>
    <t>Best Case</t>
  </si>
  <si>
    <t>80 % CL scenario</t>
  </si>
  <si>
    <t>Worst Case Scenario</t>
  </si>
  <si>
    <t>Best Case Scenario</t>
  </si>
  <si>
    <t>80% CL Scenario</t>
  </si>
  <si>
    <t>80%CL</t>
  </si>
  <si>
    <t>Cost - 500KAF</t>
  </si>
  <si>
    <t>426KAF</t>
  </si>
  <si>
    <t>357KAF</t>
  </si>
  <si>
    <t>467KAF</t>
  </si>
  <si>
    <t>Early Payment</t>
  </si>
  <si>
    <t>80% CL Early Pay</t>
  </si>
  <si>
    <t>1000 AF</t>
  </si>
  <si>
    <t>2000 AF</t>
  </si>
  <si>
    <t>2500 AF</t>
  </si>
  <si>
    <t>5000 AF</t>
  </si>
  <si>
    <t>10000 AF</t>
  </si>
  <si>
    <t>15000 AF</t>
  </si>
  <si>
    <t>20000 AF</t>
  </si>
  <si>
    <t>Quantity Invested In  (426KAF)</t>
  </si>
  <si>
    <t>Percentage of Project</t>
  </si>
  <si>
    <t>Combined Loan/Bond Repayment **4%  Assume start of 2030</t>
  </si>
  <si>
    <t>Assumes 5% -- Annual interestbonds</t>
  </si>
  <si>
    <t>By acre</t>
  </si>
  <si>
    <t>Cost Per Acre (80% CL)
(Storage (AF) associated with % investment)</t>
  </si>
  <si>
    <t>Cost Per Acre (Worst Case)
(Storage (AF) associated with % investment)</t>
  </si>
  <si>
    <t>Cost Per Acre (Best Case)
(Storage (AF) associated with % investment)</t>
  </si>
  <si>
    <t>Escalate 2015 to 2032</t>
  </si>
  <si>
    <t>Escalate 2015 to 2033</t>
  </si>
  <si>
    <t>Escalate 2015 to 2034</t>
  </si>
  <si>
    <t>Escalate 2015 to 2035</t>
  </si>
  <si>
    <t>Escalate 2015 to 2036</t>
  </si>
  <si>
    <t>Escalate 2015 to 2037</t>
  </si>
  <si>
    <t>Escalate 2015 to 2038</t>
  </si>
  <si>
    <t>Escalate 2015 to 2039</t>
  </si>
  <si>
    <t>Escalate 2015 to 2040</t>
  </si>
  <si>
    <t>Escalate 2015 to 2041</t>
  </si>
  <si>
    <t>Escalate 2015 to 2042</t>
  </si>
  <si>
    <t>Escalate 2015 to 2043</t>
  </si>
  <si>
    <t>Escalate 2015 to 2044</t>
  </si>
  <si>
    <t>Escalate 2015 to 2045</t>
  </si>
  <si>
    <t>Escalate 2015 to 2046</t>
  </si>
  <si>
    <t>Escalate 2015 to 2047</t>
  </si>
  <si>
    <t>Escalate 2015 to 2048</t>
  </si>
  <si>
    <t>Escalate 2015 to 2049</t>
  </si>
  <si>
    <t>Escalate 2015 to 2050</t>
  </si>
  <si>
    <t>Escalate 2015 to 2051</t>
  </si>
  <si>
    <t>Escalate 2015 to 2052</t>
  </si>
  <si>
    <t>Escalate 2015 to 2053</t>
  </si>
  <si>
    <t>Escalate 2015 to 2054</t>
  </si>
  <si>
    <t>Escalate 2015 to 2055</t>
  </si>
  <si>
    <t>Escalate 2015 to 2056</t>
  </si>
  <si>
    <t>Escalate 2015 to 2057</t>
  </si>
  <si>
    <t>Escalate 2015 to 2058</t>
  </si>
  <si>
    <t>Escalate 2015 to 2059</t>
  </si>
  <si>
    <t>Escalate 2015 to 2060</t>
  </si>
  <si>
    <t>Escalate 2015 to 2061</t>
  </si>
  <si>
    <t>Escalate 2015 to 2062</t>
  </si>
  <si>
    <t>Escalate 2015 to 2063</t>
  </si>
  <si>
    <t>Escalate 2015 to 2064</t>
  </si>
  <si>
    <t>Escalate 2015 to 2065</t>
  </si>
  <si>
    <t>Escalate 2015 to 2066</t>
  </si>
  <si>
    <t>Escalate 2015 to 2067</t>
  </si>
  <si>
    <t>Escalate 2015 to 2068</t>
  </si>
  <si>
    <t>Escalate 2015 to 2069</t>
  </si>
  <si>
    <t>Escalate 2015 to 2070</t>
  </si>
  <si>
    <t>Escalate 2015 to 2071</t>
  </si>
  <si>
    <t>Escalate 2015 to 2072</t>
  </si>
  <si>
    <t>Escalate 2015 to 2073</t>
  </si>
  <si>
    <t>Escalate 2015 to 2074</t>
  </si>
  <si>
    <t>Escalate 2015 to 2075</t>
  </si>
  <si>
    <t>Escalate 2015 to 2076</t>
  </si>
  <si>
    <t>Escalate 2015 to 2077</t>
  </si>
  <si>
    <t>Escalate 2015 to 2078</t>
  </si>
  <si>
    <t>Escalate 2015 to 2079</t>
  </si>
  <si>
    <t>Escalate 2015 to 2080</t>
  </si>
  <si>
    <t>Escalate 2015 to 2081</t>
  </si>
  <si>
    <t>Escalate 2015 to 2082</t>
  </si>
  <si>
    <t>Escalate 2015 to 2083</t>
  </si>
  <si>
    <t>Escalate 2015 to 2084</t>
  </si>
  <si>
    <t>Escalate 2015 to 2085</t>
  </si>
  <si>
    <t>Escalate 2015 to 2086</t>
  </si>
  <si>
    <t>Escalate 2015 to 2087</t>
  </si>
  <si>
    <t>Escalate 2015 to 2088</t>
  </si>
  <si>
    <t>Escalate 2015 to 2089</t>
  </si>
  <si>
    <t>Escalate 2015 to 2090</t>
  </si>
  <si>
    <t>Escalate 2015 to 2091</t>
  </si>
  <si>
    <t>Escalate 2015 to 2092</t>
  </si>
  <si>
    <t>Escalate 2015 to 2093</t>
  </si>
  <si>
    <t>Escalate 2015 to 2094</t>
  </si>
  <si>
    <t>Escalate 2015 to 2095</t>
  </si>
  <si>
    <t>Escalate 2015 to 2096</t>
  </si>
  <si>
    <t>Escalate 2015 to 2097</t>
  </si>
  <si>
    <t>Escalate 2015 to 2098</t>
  </si>
  <si>
    <t>Escalate 2015 to 2099</t>
  </si>
  <si>
    <t>Escalate 2015 to 2100</t>
  </si>
  <si>
    <t>Escalate 2015 to 2101</t>
  </si>
  <si>
    <t>Escalate 2015 to 2102</t>
  </si>
  <si>
    <t>Escalate 2015 to 2103</t>
  </si>
  <si>
    <t>Years Ahead of Zero (1970)</t>
  </si>
  <si>
    <t>Index from 2015</t>
  </si>
  <si>
    <t>Escalate 2015 to 2015</t>
  </si>
  <si>
    <t>Escalate 2015 to 2016</t>
  </si>
  <si>
    <t>Escalate 2015 to 2017</t>
  </si>
  <si>
    <t>Escalate 2015 to 2018</t>
  </si>
  <si>
    <t>Value of $600</t>
  </si>
  <si>
    <t>De-escalated 426K</t>
  </si>
  <si>
    <t>Type --&gt;</t>
  </si>
  <si>
    <t>CVP Project</t>
  </si>
  <si>
    <t>Price</t>
  </si>
  <si>
    <t>Water Transfer (SOD)</t>
  </si>
  <si>
    <t>Water Transfer (In Basin)</t>
  </si>
  <si>
    <t>Water Market Insider Article</t>
  </si>
  <si>
    <t>CPI Trend of $100</t>
  </si>
  <si>
    <t>Value of $892.29 over time</t>
  </si>
  <si>
    <t>Yuba County WA Prices</t>
  </si>
  <si>
    <t>All Data Trendline</t>
  </si>
  <si>
    <t>Cost ($/af)</t>
  </si>
  <si>
    <t>Supply</t>
  </si>
  <si>
    <t xml:space="preserve"> Sunflower </t>
  </si>
  <si>
    <t xml:space="preserve">Dry Beans </t>
  </si>
  <si>
    <t xml:space="preserve">Corn </t>
  </si>
  <si>
    <t xml:space="preserve">Grain </t>
  </si>
  <si>
    <t>Rice</t>
  </si>
  <si>
    <t>Vine Seed</t>
  </si>
  <si>
    <t>Safflower</t>
  </si>
  <si>
    <t>Fallow Acres</t>
  </si>
  <si>
    <t>AF</t>
  </si>
  <si>
    <t>Total Acres</t>
  </si>
  <si>
    <t>Percentage of District Acres</t>
  </si>
  <si>
    <t>Scenario 1 - 30,000 AF shortage over several months (7,500 AF per month)</t>
  </si>
  <si>
    <t>Scenario 2 - 20,000 AF shortage in May</t>
  </si>
  <si>
    <t>Purchase Power of $1000</t>
  </si>
  <si>
    <t>How much spent per AF before water delivery? (426K yeild)</t>
  </si>
  <si>
    <t>5K AF Cost</t>
  </si>
  <si>
    <t>Per Acre</t>
  </si>
  <si>
    <t>2.5KAF Cost</t>
  </si>
  <si>
    <t>With Hydropower</t>
  </si>
  <si>
    <t>Without Hydropower</t>
  </si>
  <si>
    <t>2018 Dollars</t>
  </si>
  <si>
    <t>2032 Dollars</t>
  </si>
  <si>
    <t>Capitalized Interest</t>
  </si>
  <si>
    <t>Phase 2 Debt Burden /AF</t>
  </si>
  <si>
    <t>Phase 2 interest payments by year /AF</t>
  </si>
  <si>
    <t>Debt payment (2018 dollars)</t>
  </si>
  <si>
    <t>Debt payment (2032 dollars)</t>
  </si>
  <si>
    <t>(Quantity (AF) --&gt;)</t>
  </si>
  <si>
    <t>RD-108 Whole District Investment (with Hydropower)</t>
  </si>
  <si>
    <t>Phase 2 debt burden</t>
  </si>
  <si>
    <t>RD-108 Whole District Investment (without Hydropower)</t>
  </si>
  <si>
    <t>Per Acre Cost</t>
  </si>
  <si>
    <t>W/O HP (2018)</t>
  </si>
  <si>
    <t>W/O HP (2032)</t>
  </si>
  <si>
    <t>W HP (2018)</t>
  </si>
  <si>
    <t>W HP (2032)</t>
  </si>
  <si>
    <t>Debt Per Acre @ end of Phase 2 (whole District investment)</t>
  </si>
  <si>
    <t>AF investment --&gt;</t>
  </si>
  <si>
    <t>Yield</t>
  </si>
  <si>
    <t>Principal</t>
  </si>
  <si>
    <t>Per AF</t>
  </si>
  <si>
    <t>Pay Interest During Construction</t>
  </si>
  <si>
    <t>Capitalize Interest During Construction</t>
  </si>
  <si>
    <t>Need to work on this.</t>
  </si>
  <si>
    <t>Full Subscribed Per Acre Debt</t>
  </si>
  <si>
    <t>Partial Subscribed Per Acre Debt</t>
  </si>
  <si>
    <t>Payments during Construction</t>
  </si>
  <si>
    <t>Pay Interest only during Construction</t>
  </si>
  <si>
    <t>Payments During Construction</t>
  </si>
  <si>
    <t>2019 Cash Call</t>
  </si>
  <si>
    <t>Assume Investor Pool (AF) =</t>
  </si>
  <si>
    <t>Baseline</t>
  </si>
  <si>
    <t>Plan B</t>
  </si>
  <si>
    <t>Plan C</t>
  </si>
  <si>
    <t>Investment Amount (AF)</t>
  </si>
  <si>
    <t>Payment in 2019</t>
  </si>
  <si>
    <t>RD-108 Phase 1</t>
  </si>
  <si>
    <t>Credit 30%</t>
  </si>
  <si>
    <t>Phase 2</t>
  </si>
  <si>
    <t>4000 AF</t>
  </si>
  <si>
    <t>Plus JPA</t>
  </si>
  <si>
    <t>Survey Results</t>
  </si>
  <si>
    <t>Individual Interest</t>
  </si>
  <si>
    <t>Weighted Average</t>
  </si>
  <si>
    <t>Quantity</t>
  </si>
  <si>
    <t>Annual Assessment per Acre (50,000 acres)</t>
  </si>
  <si>
    <t>&lt;$10 per acre</t>
  </si>
  <si>
    <t>$10 - $15 per acre</t>
  </si>
  <si>
    <t>$15 - $20 per acre</t>
  </si>
  <si>
    <t>$20 - $25 per acre</t>
  </si>
  <si>
    <t>$25 - $30 per acre</t>
  </si>
  <si>
    <t>$30 - $50 per acre</t>
  </si>
  <si>
    <t>Survey listed price of $830 per acre foot</t>
  </si>
  <si>
    <t>Cost per AF per year</t>
  </si>
  <si>
    <t>$50 - $70 per acre</t>
  </si>
  <si>
    <t>&gt;$70 per acre</t>
  </si>
  <si>
    <t>Assumed annual cost of financing</t>
  </si>
  <si>
    <t>Potential Offsets</t>
  </si>
  <si>
    <t>Rental of storage space</t>
  </si>
  <si>
    <t>Wet Year sales of water</t>
  </si>
  <si>
    <t>Dry year transfers</t>
  </si>
  <si>
    <t>Amount</t>
  </si>
  <si>
    <t>Generic example</t>
  </si>
  <si>
    <t>Debt Service</t>
  </si>
  <si>
    <t>Year type</t>
  </si>
  <si>
    <t>wet</t>
  </si>
  <si>
    <t>dry</t>
  </si>
  <si>
    <t>Offset if any</t>
  </si>
  <si>
    <t>Start of year storage</t>
  </si>
  <si>
    <t>Water sold</t>
  </si>
  <si>
    <t>End of year stored</t>
  </si>
  <si>
    <t>Water gained</t>
  </si>
  <si>
    <t>Storage Rented</t>
  </si>
  <si>
    <t>Total Debt Service</t>
  </si>
  <si>
    <t>Total Offset</t>
  </si>
  <si>
    <t>Net Debt Service</t>
  </si>
  <si>
    <t>Cost Per Acre (assessment)</t>
  </si>
  <si>
    <t>Average</t>
  </si>
  <si>
    <t>Water Used Chart</t>
  </si>
  <si>
    <t>Water Sold Chart</t>
  </si>
  <si>
    <t>Net Cost Per AF storage</t>
  </si>
  <si>
    <t>Water used by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</si>
</sst>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  <numFmt numFmtId="167" formatCode="0.000"/>
    <numFmt numFmtId="168" formatCode="&quot;$&quot;#,##0.00"/>
    <numFmt numFmtId="169" formatCode="0_);[Red]\(0\)"/>
  </numFmts>
  <fonts count="12">
    <font>
      <sz val="11"/>
      <color theme="1"/>
      <name val="Calibri"/>
      <family val="2"/>
      <scheme val="minor"/>
    </font>
    <font>
      <sz val="9"/>
      <color rgb="FF2B2B2B"/>
      <name val="Inherit"/>
    </font>
    <font>
      <b/>
      <sz val="9"/>
      <color rgb="FF2B2B2B"/>
      <name val="Inheri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AE9F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DotDot">
        <color auto="1"/>
      </bottom>
      <diagonal/>
    </border>
    <border>
      <left/>
      <right/>
      <top style="mediumDashDotDot">
        <color auto="1"/>
      </top>
      <bottom style="dashed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/>
      <top style="mediumDashed">
        <color auto="1"/>
      </top>
      <bottom style="dashed">
        <color auto="1"/>
      </bottom>
      <diagonal/>
    </border>
    <border>
      <left/>
      <right/>
      <top style="mediumDashDot">
        <color auto="1"/>
      </top>
      <bottom style="dashed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/>
      <top style="slantDashDot">
        <color auto="1"/>
      </top>
      <bottom style="dashed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7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9" fontId="0" fillId="0" borderId="0" xfId="0" applyNumberFormat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6" fontId="0" fillId="0" borderId="0" xfId="1" applyNumberFormat="1" applyFont="1" applyAlignment="1">
      <alignment horizontal="center" vertical="center" wrapText="1"/>
    </xf>
    <xf numFmtId="1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6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167" fontId="0" fillId="0" borderId="0" xfId="0" applyNumberFormat="1" applyAlignment="1">
      <alignment horizontal="left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5" borderId="0" xfId="0" applyNumberFormat="1" applyFill="1" applyBorder="1" applyAlignment="1">
      <alignment horizontal="center" vertical="center" wrapText="1"/>
    </xf>
    <xf numFmtId="165" fontId="0" fillId="4" borderId="11" xfId="0" applyNumberFormat="1" applyFill="1" applyBorder="1" applyAlignment="1">
      <alignment horizontal="center" vertical="center" wrapText="1"/>
    </xf>
    <xf numFmtId="165" fontId="0" fillId="4" borderId="0" xfId="0" applyNumberFormat="1" applyFill="1" applyBorder="1" applyAlignment="1">
      <alignment horizontal="center" vertical="center" wrapText="1"/>
    </xf>
    <xf numFmtId="165" fontId="0" fillId="4" borderId="10" xfId="0" applyNumberFormat="1" applyFill="1" applyBorder="1" applyAlignment="1">
      <alignment horizontal="center" vertical="center" wrapText="1"/>
    </xf>
    <xf numFmtId="165" fontId="0" fillId="5" borderId="16" xfId="0" applyNumberFormat="1" applyFill="1" applyBorder="1" applyAlignment="1">
      <alignment horizontal="center" vertical="center" wrapText="1"/>
    </xf>
    <xf numFmtId="165" fontId="0" fillId="5" borderId="15" xfId="0" applyNumberFormat="1" applyFill="1" applyBorder="1" applyAlignment="1">
      <alignment horizontal="center" vertical="center" wrapText="1"/>
    </xf>
    <xf numFmtId="165" fontId="0" fillId="5" borderId="14" xfId="0" applyNumberFormat="1" applyFill="1" applyBorder="1" applyAlignment="1">
      <alignment horizontal="center" vertical="center" wrapText="1"/>
    </xf>
    <xf numFmtId="165" fontId="0" fillId="5" borderId="12" xfId="0" applyNumberFormat="1" applyFill="1" applyBorder="1" applyAlignment="1">
      <alignment horizontal="center" vertical="center" wrapText="1"/>
    </xf>
    <xf numFmtId="165" fontId="0" fillId="0" borderId="0" xfId="0" applyNumberFormat="1" applyAlignment="1">
      <alignment horizontal="left" vertical="center" wrapText="1"/>
    </xf>
    <xf numFmtId="10" fontId="0" fillId="0" borderId="0" xfId="0" applyNumberFormat="1" applyAlignment="1">
      <alignment horizontal="center" vertical="center" wrapText="1"/>
    </xf>
    <xf numFmtId="10" fontId="0" fillId="0" borderId="0" xfId="2" applyNumberFormat="1" applyFont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44" fontId="0" fillId="6" borderId="0" xfId="0" applyNumberForma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44" fontId="0" fillId="7" borderId="0" xfId="0" applyNumberForma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44" fontId="0" fillId="8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NumberFormat="1"/>
    <xf numFmtId="44" fontId="0" fillId="0" borderId="0" xfId="0" applyNumberFormat="1" applyBorder="1" applyAlignment="1">
      <alignment horizontal="center" vertical="center" wrapText="1"/>
    </xf>
    <xf numFmtId="44" fontId="0" fillId="0" borderId="19" xfId="0" applyNumberFormat="1" applyBorder="1" applyAlignment="1">
      <alignment horizontal="center" vertical="center" wrapText="1"/>
    </xf>
    <xf numFmtId="44" fontId="0" fillId="0" borderId="21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0" fillId="0" borderId="2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0" fontId="0" fillId="0" borderId="26" xfId="0" applyNumberFormat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164" fontId="0" fillId="0" borderId="29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64" fontId="0" fillId="0" borderId="30" xfId="0" applyNumberFormat="1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164" fontId="0" fillId="0" borderId="32" xfId="0" applyNumberFormat="1" applyBorder="1" applyAlignment="1">
      <alignment horizontal="center" vertical="center" wrapText="1"/>
    </xf>
    <xf numFmtId="44" fontId="0" fillId="0" borderId="32" xfId="0" applyNumberFormat="1" applyBorder="1" applyAlignment="1">
      <alignment horizontal="center" vertical="center" wrapText="1"/>
    </xf>
    <xf numFmtId="44" fontId="0" fillId="0" borderId="29" xfId="0" applyNumberFormat="1" applyBorder="1" applyAlignment="1">
      <alignment horizontal="center" vertical="center" wrapText="1"/>
    </xf>
    <xf numFmtId="44" fontId="0" fillId="0" borderId="28" xfId="0" applyNumberFormat="1" applyBorder="1" applyAlignment="1">
      <alignment horizontal="center" vertical="center" wrapText="1"/>
    </xf>
    <xf numFmtId="164" fontId="0" fillId="0" borderId="33" xfId="0" applyNumberFormat="1" applyBorder="1" applyAlignment="1">
      <alignment horizontal="center" vertical="center" wrapText="1"/>
    </xf>
    <xf numFmtId="164" fontId="0" fillId="0" borderId="34" xfId="0" applyNumberForma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164" fontId="0" fillId="0" borderId="35" xfId="0" applyNumberFormat="1" applyBorder="1" applyAlignment="1">
      <alignment horizontal="center" vertical="center" wrapText="1"/>
    </xf>
    <xf numFmtId="44" fontId="0" fillId="0" borderId="35" xfId="0" applyNumberFormat="1" applyBorder="1" applyAlignment="1">
      <alignment horizontal="center" vertical="center" wrapText="1"/>
    </xf>
    <xf numFmtId="44" fontId="0" fillId="0" borderId="34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4" fontId="0" fillId="0" borderId="17" xfId="0" applyNumberForma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 wrapText="1"/>
    </xf>
    <xf numFmtId="10" fontId="0" fillId="5" borderId="0" xfId="0" applyNumberFormat="1" applyFill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164" fontId="0" fillId="5" borderId="17" xfId="0" applyNumberForma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164" fontId="0" fillId="5" borderId="18" xfId="0" applyNumberFormat="1" applyFill="1" applyBorder="1" applyAlignment="1">
      <alignment horizontal="center" vertical="center" wrapText="1"/>
    </xf>
    <xf numFmtId="44" fontId="0" fillId="5" borderId="0" xfId="0" applyNumberFormat="1" applyFill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164" fontId="0" fillId="5" borderId="0" xfId="0" applyNumberFormat="1" applyFill="1" applyBorder="1" applyAlignment="1">
      <alignment horizontal="center" vertical="center" wrapText="1"/>
    </xf>
    <xf numFmtId="164" fontId="0" fillId="5" borderId="17" xfId="0" applyNumberFormat="1" applyFill="1" applyBorder="1" applyAlignment="1">
      <alignment vertical="center" wrapText="1"/>
    </xf>
    <xf numFmtId="164" fontId="0" fillId="5" borderId="0" xfId="0" applyNumberFormat="1" applyFill="1" applyBorder="1" applyAlignment="1">
      <alignment vertical="center" wrapText="1"/>
    </xf>
    <xf numFmtId="164" fontId="0" fillId="5" borderId="18" xfId="0" applyNumberFormat="1" applyFill="1" applyBorder="1" applyAlignment="1">
      <alignment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24" xfId="0" applyNumberFormat="1" applyFill="1" applyBorder="1" applyAlignment="1">
      <alignment horizontal="center" vertical="center" wrapText="1"/>
    </xf>
    <xf numFmtId="0" fontId="0" fillId="5" borderId="26" xfId="0" applyNumberFormat="1" applyFill="1" applyBorder="1" applyAlignment="1">
      <alignment horizontal="center" vertical="center" wrapText="1"/>
    </xf>
    <xf numFmtId="165" fontId="0" fillId="5" borderId="23" xfId="0" applyNumberForma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/>
    <xf numFmtId="164" fontId="0" fillId="5" borderId="25" xfId="0" applyNumberFormat="1" applyFill="1" applyBorder="1" applyAlignment="1">
      <alignment horizontal="center" vertical="center" wrapText="1"/>
    </xf>
    <xf numFmtId="164" fontId="0" fillId="5" borderId="19" xfId="0" applyNumberFormat="1" applyFill="1" applyBorder="1" applyAlignment="1">
      <alignment horizontal="center" vertical="center" wrapText="1"/>
    </xf>
    <xf numFmtId="164" fontId="0" fillId="5" borderId="20" xfId="0" applyNumberFormat="1" applyFill="1" applyBorder="1" applyAlignment="1">
      <alignment horizontal="center" vertical="center" wrapText="1"/>
    </xf>
    <xf numFmtId="164" fontId="0" fillId="5" borderId="21" xfId="0" applyNumberFormat="1" applyFill="1" applyBorder="1" applyAlignment="1">
      <alignment horizontal="center" vertical="center" wrapText="1"/>
    </xf>
    <xf numFmtId="164" fontId="0" fillId="5" borderId="34" xfId="0" applyNumberFormat="1" applyFill="1" applyBorder="1" applyAlignment="1">
      <alignment horizontal="center" vertical="center" wrapText="1"/>
    </xf>
    <xf numFmtId="44" fontId="0" fillId="5" borderId="0" xfId="0" applyNumberFormat="1" applyFill="1" applyBorder="1" applyAlignment="1">
      <alignment horizontal="center" vertical="center" wrapText="1"/>
    </xf>
    <xf numFmtId="44" fontId="0" fillId="5" borderId="19" xfId="0" applyNumberFormat="1" applyFill="1" applyBorder="1" applyAlignment="1">
      <alignment horizontal="center" vertical="center" wrapText="1"/>
    </xf>
    <xf numFmtId="164" fontId="0" fillId="5" borderId="29" xfId="0" applyNumberFormat="1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164" fontId="0" fillId="5" borderId="30" xfId="0" applyNumberFormat="1" applyFill="1" applyBorder="1" applyAlignment="1">
      <alignment horizontal="center" vertical="center" wrapText="1"/>
    </xf>
    <xf numFmtId="164" fontId="0" fillId="5" borderId="32" xfId="0" applyNumberFormat="1" applyFill="1" applyBorder="1" applyAlignment="1">
      <alignment horizontal="center" vertical="center" wrapText="1"/>
    </xf>
    <xf numFmtId="164" fontId="0" fillId="5" borderId="28" xfId="0" applyNumberFormat="1" applyFill="1" applyBorder="1" applyAlignment="1">
      <alignment horizontal="center" vertical="center" wrapText="1"/>
    </xf>
    <xf numFmtId="164" fontId="0" fillId="5" borderId="27" xfId="0" applyNumberFormat="1" applyFill="1" applyBorder="1" applyAlignment="1">
      <alignment horizontal="center" vertical="center" wrapText="1"/>
    </xf>
    <xf numFmtId="0" fontId="4" fillId="0" borderId="0" xfId="0" applyFont="1"/>
    <xf numFmtId="168" fontId="0" fillId="5" borderId="0" xfId="0" applyNumberFormat="1" applyFill="1" applyAlignment="1">
      <alignment horizontal="center" vertical="center" wrapText="1"/>
    </xf>
    <xf numFmtId="168" fontId="4" fillId="0" borderId="0" xfId="0" applyNumberFormat="1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168" fontId="4" fillId="5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horizontal="center" vertical="center" wrapText="1"/>
    </xf>
    <xf numFmtId="166" fontId="0" fillId="9" borderId="0" xfId="1" applyNumberFormat="1" applyFont="1" applyFill="1" applyAlignment="1">
      <alignment horizontal="center" vertical="center" wrapText="1"/>
    </xf>
    <xf numFmtId="168" fontId="0" fillId="9" borderId="0" xfId="1" applyNumberFormat="1" applyFont="1" applyFill="1" applyAlignment="1">
      <alignment horizontal="center" vertical="center" wrapText="1"/>
    </xf>
    <xf numFmtId="9" fontId="0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68" fontId="0" fillId="0" borderId="0" xfId="0" applyNumberFormat="1" applyBorder="1" applyAlignment="1">
      <alignment horizontal="center" vertical="center" wrapText="1"/>
    </xf>
    <xf numFmtId="168" fontId="0" fillId="0" borderId="40" xfId="0" applyNumberForma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165" fontId="0" fillId="0" borderId="40" xfId="0" applyNumberForma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168" fontId="0" fillId="0" borderId="42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3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8" fontId="0" fillId="0" borderId="43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0" fillId="13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6" fontId="0" fillId="0" borderId="0" xfId="0" applyNumberFormat="1" applyAlignment="1">
      <alignment horizontal="center" vertical="center" wrapText="1"/>
    </xf>
    <xf numFmtId="44" fontId="0" fillId="0" borderId="42" xfId="0" applyNumberFormat="1" applyBorder="1" applyAlignment="1">
      <alignment horizontal="center" vertical="center" wrapText="1"/>
    </xf>
    <xf numFmtId="44" fontId="0" fillId="0" borderId="43" xfId="0" applyNumberFormat="1" applyBorder="1" applyAlignment="1">
      <alignment horizontal="center" vertical="center" wrapText="1"/>
    </xf>
    <xf numFmtId="44" fontId="4" fillId="0" borderId="41" xfId="0" applyNumberFormat="1" applyFont="1" applyBorder="1" applyAlignment="1">
      <alignment horizontal="center" vertical="center" wrapText="1"/>
    </xf>
    <xf numFmtId="44" fontId="4" fillId="0" borderId="42" xfId="0" applyNumberFormat="1" applyFont="1" applyBorder="1" applyAlignment="1">
      <alignment horizontal="center" vertical="center" wrapText="1"/>
    </xf>
    <xf numFmtId="44" fontId="4" fillId="0" borderId="43" xfId="0" applyNumberFormat="1" applyFont="1" applyBorder="1" applyAlignment="1">
      <alignment horizontal="center" vertical="center" wrapText="1"/>
    </xf>
    <xf numFmtId="44" fontId="0" fillId="0" borderId="0" xfId="0" applyNumberFormat="1" applyFill="1" applyBorder="1" applyAlignment="1">
      <alignment horizontal="center" vertical="center" wrapText="1"/>
    </xf>
    <xf numFmtId="44" fontId="0" fillId="11" borderId="0" xfId="0" applyNumberFormat="1" applyFill="1" applyBorder="1" applyAlignment="1">
      <alignment horizontal="center" vertical="center" wrapText="1"/>
    </xf>
    <xf numFmtId="44" fontId="0" fillId="10" borderId="0" xfId="0" applyNumberFormat="1" applyFill="1" applyBorder="1" applyAlignment="1">
      <alignment horizontal="center" vertical="center" wrapText="1"/>
    </xf>
    <xf numFmtId="44" fontId="0" fillId="16" borderId="0" xfId="0" applyNumberFormat="1" applyFill="1" applyBorder="1" applyAlignment="1">
      <alignment horizontal="center" vertical="center" wrapText="1"/>
    </xf>
    <xf numFmtId="44" fontId="0" fillId="13" borderId="0" xfId="0" applyNumberFormat="1" applyFill="1" applyBorder="1" applyAlignment="1">
      <alignment horizontal="center" vertical="center" wrapText="1"/>
    </xf>
    <xf numFmtId="44" fontId="0" fillId="14" borderId="0" xfId="0" applyNumberFormat="1" applyFill="1" applyBorder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44" fontId="0" fillId="4" borderId="0" xfId="0" applyNumberFormat="1" applyFill="1" applyBorder="1" applyAlignment="1">
      <alignment horizontal="center" vertical="center" wrapText="1"/>
    </xf>
    <xf numFmtId="44" fontId="0" fillId="12" borderId="36" xfId="0" applyNumberFormat="1" applyFill="1" applyBorder="1" applyAlignment="1">
      <alignment horizontal="center" vertical="center" wrapText="1"/>
    </xf>
    <xf numFmtId="44" fontId="0" fillId="12" borderId="37" xfId="0" applyNumberFormat="1" applyFill="1" applyBorder="1" applyAlignment="1">
      <alignment horizontal="center" vertical="center" wrapText="1"/>
    </xf>
    <xf numFmtId="44" fontId="0" fillId="12" borderId="38" xfId="0" applyNumberFormat="1" applyFill="1" applyBorder="1" applyAlignment="1">
      <alignment horizontal="center" vertical="center" wrapText="1"/>
    </xf>
    <xf numFmtId="44" fontId="0" fillId="10" borderId="39" xfId="0" applyNumberFormat="1" applyFill="1" applyBorder="1" applyAlignment="1">
      <alignment horizontal="center" vertical="center" wrapText="1"/>
    </xf>
    <xf numFmtId="44" fontId="0" fillId="10" borderId="40" xfId="0" applyNumberFormat="1" applyFill="1" applyBorder="1" applyAlignment="1">
      <alignment horizontal="center" vertical="center" wrapText="1"/>
    </xf>
    <xf numFmtId="44" fontId="0" fillId="13" borderId="40" xfId="0" applyNumberFormat="1" applyFill="1" applyBorder="1" applyAlignment="1">
      <alignment horizontal="center" vertical="center" wrapText="1"/>
    </xf>
    <xf numFmtId="44" fontId="0" fillId="13" borderId="39" xfId="0" applyNumberFormat="1" applyFill="1" applyBorder="1" applyAlignment="1">
      <alignment horizontal="center" vertical="center" wrapText="1"/>
    </xf>
    <xf numFmtId="44" fontId="0" fillId="11" borderId="40" xfId="0" applyNumberFormat="1" applyFill="1" applyBorder="1" applyAlignment="1">
      <alignment horizontal="center" vertical="center" wrapText="1"/>
    </xf>
    <xf numFmtId="44" fontId="0" fillId="11" borderId="39" xfId="0" applyNumberFormat="1" applyFill="1" applyBorder="1" applyAlignment="1">
      <alignment horizontal="center" vertical="center" wrapText="1"/>
    </xf>
    <xf numFmtId="44" fontId="0" fillId="14" borderId="40" xfId="0" applyNumberFormat="1" applyFill="1" applyBorder="1" applyAlignment="1">
      <alignment horizontal="center" vertical="center" wrapText="1"/>
    </xf>
    <xf numFmtId="44" fontId="0" fillId="4" borderId="40" xfId="0" applyNumberFormat="1" applyFill="1" applyBorder="1" applyAlignment="1">
      <alignment horizontal="center" vertical="center" wrapText="1"/>
    </xf>
    <xf numFmtId="44" fontId="0" fillId="14" borderId="39" xfId="0" applyNumberFormat="1" applyFill="1" applyBorder="1" applyAlignment="1">
      <alignment horizontal="center" vertical="center" wrapText="1"/>
    </xf>
    <xf numFmtId="44" fontId="0" fillId="4" borderId="39" xfId="0" applyNumberFormat="1" applyFill="1" applyBorder="1" applyAlignment="1">
      <alignment horizontal="center" vertical="center" wrapText="1"/>
    </xf>
    <xf numFmtId="44" fontId="0" fillId="16" borderId="40" xfId="0" applyNumberFormat="1" applyFill="1" applyBorder="1" applyAlignment="1">
      <alignment horizontal="center" vertical="center" wrapText="1"/>
    </xf>
    <xf numFmtId="44" fontId="0" fillId="0" borderId="40" xfId="0" applyNumberFormat="1" applyFill="1" applyBorder="1" applyAlignment="1">
      <alignment horizontal="center" vertical="center" wrapText="1"/>
    </xf>
    <xf numFmtId="44" fontId="0" fillId="16" borderId="39" xfId="0" applyNumberFormat="1" applyFill="1" applyBorder="1" applyAlignment="1">
      <alignment horizontal="center" vertical="center" wrapText="1"/>
    </xf>
    <xf numFmtId="44" fontId="0" fillId="16" borderId="41" xfId="0" applyNumberFormat="1" applyFill="1" applyBorder="1" applyAlignment="1">
      <alignment horizontal="center" vertical="center" wrapText="1"/>
    </xf>
    <xf numFmtId="44" fontId="0" fillId="16" borderId="42" xfId="0" applyNumberFormat="1" applyFill="1" applyBorder="1" applyAlignment="1">
      <alignment horizontal="center" vertical="center" wrapText="1"/>
    </xf>
    <xf numFmtId="44" fontId="0" fillId="0" borderId="42" xfId="0" applyNumberFormat="1" applyFill="1" applyBorder="1" applyAlignment="1">
      <alignment horizontal="center" vertical="center" wrapText="1"/>
    </xf>
    <xf numFmtId="44" fontId="0" fillId="0" borderId="43" xfId="0" applyNumberFormat="1" applyFill="1" applyBorder="1" applyAlignment="1">
      <alignment horizontal="center" vertical="center" wrapText="1"/>
    </xf>
    <xf numFmtId="44" fontId="0" fillId="0" borderId="4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44" fontId="0" fillId="0" borderId="9" xfId="0" applyNumberFormat="1" applyBorder="1" applyAlignment="1">
      <alignment horizontal="center" vertical="center" wrapText="1"/>
    </xf>
    <xf numFmtId="165" fontId="0" fillId="5" borderId="9" xfId="0" applyNumberFormat="1" applyFill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44" fontId="0" fillId="0" borderId="24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 wrapText="1"/>
    </xf>
    <xf numFmtId="165" fontId="0" fillId="0" borderId="24" xfId="0" applyNumberFormat="1" applyBorder="1" applyAlignment="1">
      <alignment horizontal="center" vertical="center" wrapText="1"/>
    </xf>
    <xf numFmtId="168" fontId="0" fillId="0" borderId="23" xfId="0" applyNumberFormat="1" applyBorder="1" applyAlignment="1">
      <alignment horizontal="center" vertical="center" wrapText="1"/>
    </xf>
    <xf numFmtId="168" fontId="0" fillId="0" borderId="9" xfId="0" applyNumberFormat="1" applyBorder="1" applyAlignment="1">
      <alignment horizontal="center" vertical="center" wrapText="1"/>
    </xf>
    <xf numFmtId="168" fontId="0" fillId="0" borderId="24" xfId="0" applyNumberFormat="1" applyBorder="1" applyAlignment="1">
      <alignment horizontal="center" vertical="center" wrapText="1"/>
    </xf>
    <xf numFmtId="168" fontId="0" fillId="5" borderId="23" xfId="0" applyNumberFormat="1" applyFill="1" applyBorder="1" applyAlignment="1">
      <alignment horizontal="center" vertical="center" wrapText="1"/>
    </xf>
    <xf numFmtId="168" fontId="0" fillId="5" borderId="9" xfId="0" applyNumberFormat="1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 wrapText="1"/>
    </xf>
    <xf numFmtId="164" fontId="0" fillId="5" borderId="18" xfId="0" applyNumberFormat="1" applyFill="1" applyBorder="1" applyAlignment="1">
      <alignment horizontal="center" vertical="center" wrapText="1"/>
    </xf>
    <xf numFmtId="164" fontId="0" fillId="5" borderId="17" xfId="0" applyNumberFormat="1" applyFill="1" applyBorder="1" applyAlignment="1">
      <alignment horizontal="center" vertical="center" wrapText="1"/>
    </xf>
    <xf numFmtId="164" fontId="0" fillId="5" borderId="0" xfId="0" applyNumberForma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Medium9"/>
  <colors>
    <mruColors>
      <color rgb="FFB2B2B2"/>
      <color rgb="FF996633"/>
      <color rgb="FF00CC00"/>
      <color rgb="FF006600"/>
      <color rgb="FFFF00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</a:rPr>
              <a:t>Annual Per Acre Foot Price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80% CL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Graphs!$A$4:$A$20</c:f>
              <c:numCache>
                <c:formatCode>General</c:formatCod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2059</c:v>
                </c:pt>
                <c:pt idx="14">
                  <c:v>2060</c:v>
                </c:pt>
                <c:pt idx="15">
                  <c:v>2069</c:v>
                </c:pt>
                <c:pt idx="16">
                  <c:v>2070</c:v>
                </c:pt>
              </c:numCache>
            </c:numRef>
          </c:xVal>
          <c:yVal>
            <c:numRef>
              <c:f>Graphs!$D$4:$D$20</c:f>
              <c:numCache>
                <c:formatCode>"$"#,##0.00</c:formatCode>
                <c:ptCount val="17"/>
                <c:pt idx="0">
                  <c:v>4.0022797366929392</c:v>
                </c:pt>
                <c:pt idx="1">
                  <c:v>11.625927679933522</c:v>
                </c:pt>
                <c:pt idx="2">
                  <c:v>34.449716084264381</c:v>
                </c:pt>
                <c:pt idx="3">
                  <c:v>78.844763166035435</c:v>
                </c:pt>
                <c:pt idx="4">
                  <c:v>282.9757389015262</c:v>
                </c:pt>
                <c:pt idx="5">
                  <c:v>282.9757389015262</c:v>
                </c:pt>
                <c:pt idx="6">
                  <c:v>522.74006025040444</c:v>
                </c:pt>
                <c:pt idx="7">
                  <c:v>522.74006025040444</c:v>
                </c:pt>
                <c:pt idx="8">
                  <c:v>522.74006025040444</c:v>
                </c:pt>
                <c:pt idx="9">
                  <c:v>602.20919015968491</c:v>
                </c:pt>
                <c:pt idx="10">
                  <c:v>732.2528634754924</c:v>
                </c:pt>
                <c:pt idx="11">
                  <c:v>892.28555223211004</c:v>
                </c:pt>
                <c:pt idx="12">
                  <c:v>892.28555223211004</c:v>
                </c:pt>
                <c:pt idx="13">
                  <c:v>892.28555499377808</c:v>
                </c:pt>
                <c:pt idx="14">
                  <c:v>773.93995764497947</c:v>
                </c:pt>
                <c:pt idx="15">
                  <c:v>773.93995764497947</c:v>
                </c:pt>
                <c:pt idx="16">
                  <c:v>20.755219324843342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26-45BF-911F-59EDD3678BCC}"/>
            </c:ext>
          </c:extLst>
        </c:ser>
        <c:ser>
          <c:idx val="1"/>
          <c:order val="1"/>
          <c:tx>
            <c:v>Worst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Graphs!$A$25:$A$41</c:f>
              <c:numCache>
                <c:formatCode>General</c:formatCod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2060</c:v>
                </c:pt>
                <c:pt idx="14">
                  <c:v>2061</c:v>
                </c:pt>
                <c:pt idx="15">
                  <c:v>2070</c:v>
                </c:pt>
                <c:pt idx="16">
                  <c:v>2071</c:v>
                </c:pt>
              </c:numCache>
            </c:numRef>
          </c:xVal>
          <c:yVal>
            <c:numRef>
              <c:f>Graphs!$D$25:$D$41</c:f>
              <c:numCache>
                <c:formatCode>"$"#,##0.00</c:formatCode>
                <c:ptCount val="17"/>
                <c:pt idx="0">
                  <c:v>4.2400878352844886</c:v>
                </c:pt>
                <c:pt idx="1">
                  <c:v>11.943005144722255</c:v>
                </c:pt>
                <c:pt idx="2">
                  <c:v>34.766793549053119</c:v>
                </c:pt>
                <c:pt idx="3">
                  <c:v>82.417828988848967</c:v>
                </c:pt>
                <c:pt idx="4">
                  <c:v>187.95616058547921</c:v>
                </c:pt>
                <c:pt idx="5">
                  <c:v>187.95616058547921</c:v>
                </c:pt>
                <c:pt idx="6">
                  <c:v>430.15428721071794</c:v>
                </c:pt>
                <c:pt idx="7">
                  <c:v>430.15428721071794</c:v>
                </c:pt>
                <c:pt idx="8">
                  <c:v>430.15428721071794</c:v>
                </c:pt>
                <c:pt idx="9">
                  <c:v>674.18731248849383</c:v>
                </c:pt>
                <c:pt idx="10">
                  <c:v>674.18731248849383</c:v>
                </c:pt>
                <c:pt idx="11">
                  <c:v>872.76731957119432</c:v>
                </c:pt>
                <c:pt idx="12">
                  <c:v>1109.380170928222</c:v>
                </c:pt>
                <c:pt idx="13">
                  <c:v>1109.380170928222</c:v>
                </c:pt>
                <c:pt idx="14">
                  <c:v>991.03457634109134</c:v>
                </c:pt>
                <c:pt idx="15">
                  <c:v>991.03457634109134</c:v>
                </c:pt>
                <c:pt idx="16">
                  <c:v>20.755216563175292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26-45BF-911F-59EDD3678BCC}"/>
            </c:ext>
          </c:extLst>
        </c:ser>
        <c:ser>
          <c:idx val="2"/>
          <c:order val="2"/>
          <c:tx>
            <c:v>Best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Graphs!$A$45:$A$59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2057</c:v>
                </c:pt>
                <c:pt idx="12">
                  <c:v>2058</c:v>
                </c:pt>
                <c:pt idx="13">
                  <c:v>2067</c:v>
                </c:pt>
                <c:pt idx="14">
                  <c:v>2068</c:v>
                </c:pt>
              </c:numCache>
            </c:numRef>
          </c:xVal>
          <c:yVal>
            <c:numRef>
              <c:f>Graphs!$D$45:$D$59</c:f>
              <c:numCache>
                <c:formatCode>"$"#,##0.00</c:formatCode>
                <c:ptCount val="15"/>
                <c:pt idx="0">
                  <c:v>5.5164651488090728</c:v>
                </c:pt>
                <c:pt idx="1">
                  <c:v>31.002131427165661</c:v>
                </c:pt>
                <c:pt idx="2">
                  <c:v>80.120276123442707</c:v>
                </c:pt>
                <c:pt idx="3">
                  <c:v>315.1330943551547</c:v>
                </c:pt>
                <c:pt idx="4">
                  <c:v>315.1330943551547</c:v>
                </c:pt>
                <c:pt idx="5">
                  <c:v>315.1330943551547</c:v>
                </c:pt>
                <c:pt idx="6">
                  <c:v>520.23039965455371</c:v>
                </c:pt>
                <c:pt idx="7">
                  <c:v>520.23039965455371</c:v>
                </c:pt>
                <c:pt idx="8">
                  <c:v>917.59881834833288</c:v>
                </c:pt>
                <c:pt idx="9">
                  <c:v>789.75444658021195</c:v>
                </c:pt>
                <c:pt idx="10">
                  <c:v>789.75444658021195</c:v>
                </c:pt>
                <c:pt idx="11">
                  <c:v>789.75444658021195</c:v>
                </c:pt>
                <c:pt idx="12">
                  <c:v>671.40885199308127</c:v>
                </c:pt>
                <c:pt idx="13">
                  <c:v>671.40885199308127</c:v>
                </c:pt>
                <c:pt idx="14">
                  <c:v>20.755216563175292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26-45BF-911F-59EDD3678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502640"/>
        <c:axId val="235421976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v>80% Early Pay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Graphs!$A$4:$A$16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Graphs!$H$4:$H$16</c15:sqref>
                        </c15:formulaRef>
                      </c:ext>
                    </c:extLst>
                    <c:numCache>
                      <c:formatCode>"$"#,##0.00</c:formatCode>
                      <c:ptCount val="13"/>
                      <c:pt idx="0">
                        <c:v>85.298882884994512</c:v>
                      </c:pt>
                      <c:pt idx="1">
                        <c:v>90.333467033703201</c:v>
                      </c:pt>
                      <c:pt idx="2">
                        <c:v>111.08600440240855</c:v>
                      </c:pt>
                      <c:pt idx="3">
                        <c:v>153.40980044855408</c:v>
                      </c:pt>
                      <c:pt idx="4">
                        <c:v>269.71973227352288</c:v>
                      </c:pt>
                      <c:pt idx="5">
                        <c:v>269.71973227352288</c:v>
                      </c:pt>
                      <c:pt idx="6">
                        <c:v>509.48405362240118</c:v>
                      </c:pt>
                      <c:pt idx="7">
                        <c:v>509.48405362240118</c:v>
                      </c:pt>
                      <c:pt idx="8">
                        <c:v>509.48405362240118</c:v>
                      </c:pt>
                      <c:pt idx="9">
                        <c:v>588.95318353168159</c:v>
                      </c:pt>
                      <c:pt idx="10">
                        <c:v>716.50436802085812</c:v>
                      </c:pt>
                      <c:pt idx="11">
                        <c:v>875.70622716859873</c:v>
                      </c:pt>
                      <c:pt idx="12">
                        <c:v>875.70622716859873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B026-45BF-911F-59EDD3678BCC}"/>
                  </c:ext>
                </c:extLst>
              </c15:ser>
            </c15:filteredScatterSeries>
          </c:ext>
        </c:extLst>
      </c:scatterChart>
      <c:valAx>
        <c:axId val="234502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>
                    <a:solidFill>
                      <a:schemeClr val="tx1"/>
                    </a:solidFill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421976"/>
        <c:crosses val="autoZero"/>
        <c:crossBetween val="midCat"/>
        <c:minorUnit val="5"/>
      </c:valAx>
      <c:valAx>
        <c:axId val="23542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>
                    <a:solidFill>
                      <a:schemeClr val="tx1"/>
                    </a:solidFill>
                  </a:rPr>
                  <a:t>Cost Per AF Invested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502640"/>
        <c:crosses val="autoZero"/>
        <c:crossBetween val="midCat"/>
        <c:majorUnit val="100"/>
        <c:minorUnit val="5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CPI!$N$1</c:f>
              <c:strCache>
                <c:ptCount val="1"/>
                <c:pt idx="0">
                  <c:v>Annual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CPI!$A$2:$A$107</c:f>
              <c:numCache>
                <c:formatCode>General</c:formatCode>
                <c:ptCount val="106"/>
                <c:pt idx="0">
                  <c:v>1913</c:v>
                </c:pt>
                <c:pt idx="1">
                  <c:v>1914</c:v>
                </c:pt>
                <c:pt idx="2">
                  <c:v>1915</c:v>
                </c:pt>
                <c:pt idx="3">
                  <c:v>1916</c:v>
                </c:pt>
                <c:pt idx="4">
                  <c:v>1917</c:v>
                </c:pt>
                <c:pt idx="5">
                  <c:v>1918</c:v>
                </c:pt>
                <c:pt idx="6">
                  <c:v>1919</c:v>
                </c:pt>
                <c:pt idx="7">
                  <c:v>1920</c:v>
                </c:pt>
                <c:pt idx="8">
                  <c:v>1921</c:v>
                </c:pt>
                <c:pt idx="9">
                  <c:v>1922</c:v>
                </c:pt>
                <c:pt idx="10">
                  <c:v>1923</c:v>
                </c:pt>
                <c:pt idx="11">
                  <c:v>1924</c:v>
                </c:pt>
                <c:pt idx="12">
                  <c:v>1925</c:v>
                </c:pt>
                <c:pt idx="13">
                  <c:v>1926</c:v>
                </c:pt>
                <c:pt idx="14">
                  <c:v>1927</c:v>
                </c:pt>
                <c:pt idx="15">
                  <c:v>1928</c:v>
                </c:pt>
                <c:pt idx="16">
                  <c:v>1929</c:v>
                </c:pt>
                <c:pt idx="17">
                  <c:v>1930</c:v>
                </c:pt>
                <c:pt idx="18">
                  <c:v>1931</c:v>
                </c:pt>
                <c:pt idx="19">
                  <c:v>1932</c:v>
                </c:pt>
                <c:pt idx="20">
                  <c:v>1933</c:v>
                </c:pt>
                <c:pt idx="21">
                  <c:v>1934</c:v>
                </c:pt>
                <c:pt idx="22">
                  <c:v>1935</c:v>
                </c:pt>
                <c:pt idx="23">
                  <c:v>1936</c:v>
                </c:pt>
                <c:pt idx="24">
                  <c:v>1937</c:v>
                </c:pt>
                <c:pt idx="25">
                  <c:v>1938</c:v>
                </c:pt>
                <c:pt idx="26">
                  <c:v>1939</c:v>
                </c:pt>
                <c:pt idx="27">
                  <c:v>1940</c:v>
                </c:pt>
                <c:pt idx="28">
                  <c:v>1941</c:v>
                </c:pt>
                <c:pt idx="29">
                  <c:v>1942</c:v>
                </c:pt>
                <c:pt idx="30">
                  <c:v>1943</c:v>
                </c:pt>
                <c:pt idx="31">
                  <c:v>1944</c:v>
                </c:pt>
                <c:pt idx="32">
                  <c:v>1945</c:v>
                </c:pt>
                <c:pt idx="33">
                  <c:v>1946</c:v>
                </c:pt>
                <c:pt idx="34">
                  <c:v>1947</c:v>
                </c:pt>
                <c:pt idx="35">
                  <c:v>1948</c:v>
                </c:pt>
                <c:pt idx="36">
                  <c:v>1949</c:v>
                </c:pt>
                <c:pt idx="37">
                  <c:v>1950</c:v>
                </c:pt>
                <c:pt idx="38">
                  <c:v>1951</c:v>
                </c:pt>
                <c:pt idx="39">
                  <c:v>1952</c:v>
                </c:pt>
                <c:pt idx="40">
                  <c:v>1953</c:v>
                </c:pt>
                <c:pt idx="41">
                  <c:v>1954</c:v>
                </c:pt>
                <c:pt idx="42">
                  <c:v>1955</c:v>
                </c:pt>
                <c:pt idx="43">
                  <c:v>1956</c:v>
                </c:pt>
                <c:pt idx="44">
                  <c:v>1957</c:v>
                </c:pt>
                <c:pt idx="45">
                  <c:v>1958</c:v>
                </c:pt>
                <c:pt idx="46">
                  <c:v>1959</c:v>
                </c:pt>
                <c:pt idx="47">
                  <c:v>1960</c:v>
                </c:pt>
                <c:pt idx="48">
                  <c:v>1961</c:v>
                </c:pt>
                <c:pt idx="49">
                  <c:v>1962</c:v>
                </c:pt>
                <c:pt idx="50">
                  <c:v>1963</c:v>
                </c:pt>
                <c:pt idx="51">
                  <c:v>1964</c:v>
                </c:pt>
                <c:pt idx="52">
                  <c:v>1965</c:v>
                </c:pt>
                <c:pt idx="53">
                  <c:v>1966</c:v>
                </c:pt>
                <c:pt idx="54">
                  <c:v>1967</c:v>
                </c:pt>
                <c:pt idx="55">
                  <c:v>1968</c:v>
                </c:pt>
                <c:pt idx="56">
                  <c:v>1969</c:v>
                </c:pt>
                <c:pt idx="57">
                  <c:v>1970</c:v>
                </c:pt>
                <c:pt idx="58">
                  <c:v>1971</c:v>
                </c:pt>
                <c:pt idx="59">
                  <c:v>1972</c:v>
                </c:pt>
                <c:pt idx="60">
                  <c:v>1973</c:v>
                </c:pt>
                <c:pt idx="61">
                  <c:v>1974</c:v>
                </c:pt>
                <c:pt idx="62">
                  <c:v>1975</c:v>
                </c:pt>
                <c:pt idx="63">
                  <c:v>1976</c:v>
                </c:pt>
                <c:pt idx="64">
                  <c:v>1977</c:v>
                </c:pt>
                <c:pt idx="65">
                  <c:v>1978</c:v>
                </c:pt>
                <c:pt idx="66">
                  <c:v>1979</c:v>
                </c:pt>
                <c:pt idx="67">
                  <c:v>1980</c:v>
                </c:pt>
                <c:pt idx="68">
                  <c:v>1981</c:v>
                </c:pt>
                <c:pt idx="69">
                  <c:v>1982</c:v>
                </c:pt>
                <c:pt idx="70">
                  <c:v>1983</c:v>
                </c:pt>
                <c:pt idx="71">
                  <c:v>1984</c:v>
                </c:pt>
                <c:pt idx="72">
                  <c:v>1985</c:v>
                </c:pt>
                <c:pt idx="73">
                  <c:v>1986</c:v>
                </c:pt>
                <c:pt idx="74">
                  <c:v>1987</c:v>
                </c:pt>
                <c:pt idx="75">
                  <c:v>1988</c:v>
                </c:pt>
                <c:pt idx="76">
                  <c:v>1989</c:v>
                </c:pt>
                <c:pt idx="77">
                  <c:v>1990</c:v>
                </c:pt>
                <c:pt idx="78">
                  <c:v>1991</c:v>
                </c:pt>
                <c:pt idx="79">
                  <c:v>1992</c:v>
                </c:pt>
                <c:pt idx="80">
                  <c:v>1993</c:v>
                </c:pt>
                <c:pt idx="81">
                  <c:v>1994</c:v>
                </c:pt>
                <c:pt idx="82">
                  <c:v>1995</c:v>
                </c:pt>
                <c:pt idx="83">
                  <c:v>1996</c:v>
                </c:pt>
                <c:pt idx="84">
                  <c:v>1997</c:v>
                </c:pt>
                <c:pt idx="85">
                  <c:v>1998</c:v>
                </c:pt>
                <c:pt idx="86">
                  <c:v>1999</c:v>
                </c:pt>
                <c:pt idx="87">
                  <c:v>2000</c:v>
                </c:pt>
                <c:pt idx="88">
                  <c:v>2001</c:v>
                </c:pt>
                <c:pt idx="89">
                  <c:v>2002</c:v>
                </c:pt>
                <c:pt idx="90">
                  <c:v>2003</c:v>
                </c:pt>
                <c:pt idx="91">
                  <c:v>2004</c:v>
                </c:pt>
                <c:pt idx="92">
                  <c:v>2005</c:v>
                </c:pt>
                <c:pt idx="93">
                  <c:v>2006</c:v>
                </c:pt>
                <c:pt idx="94">
                  <c:v>2007</c:v>
                </c:pt>
                <c:pt idx="95">
                  <c:v>2008</c:v>
                </c:pt>
                <c:pt idx="96">
                  <c:v>2009</c:v>
                </c:pt>
                <c:pt idx="97">
                  <c:v>2010</c:v>
                </c:pt>
                <c:pt idx="98">
                  <c:v>2011</c:v>
                </c:pt>
                <c:pt idx="99">
                  <c:v>2012</c:v>
                </c:pt>
                <c:pt idx="100">
                  <c:v>2013</c:v>
                </c:pt>
                <c:pt idx="101">
                  <c:v>2014</c:v>
                </c:pt>
                <c:pt idx="102">
                  <c:v>2015</c:v>
                </c:pt>
                <c:pt idx="103">
                  <c:v>2016</c:v>
                </c:pt>
                <c:pt idx="104">
                  <c:v>2017</c:v>
                </c:pt>
                <c:pt idx="105">
                  <c:v>2018</c:v>
                </c:pt>
              </c:numCache>
            </c:numRef>
          </c:cat>
          <c:val>
            <c:numRef>
              <c:f>CPI!$N$2:$N$107</c:f>
              <c:numCache>
                <c:formatCode>General</c:formatCode>
                <c:ptCount val="106"/>
                <c:pt idx="0">
                  <c:v>9.9</c:v>
                </c:pt>
                <c:pt idx="1">
                  <c:v>10</c:v>
                </c:pt>
                <c:pt idx="2">
                  <c:v>10.1</c:v>
                </c:pt>
                <c:pt idx="3">
                  <c:v>10.9</c:v>
                </c:pt>
                <c:pt idx="4">
                  <c:v>12.8</c:v>
                </c:pt>
                <c:pt idx="5">
                  <c:v>15.1</c:v>
                </c:pt>
                <c:pt idx="6">
                  <c:v>17.3</c:v>
                </c:pt>
                <c:pt idx="7">
                  <c:v>20</c:v>
                </c:pt>
                <c:pt idx="8">
                  <c:v>17.899999999999999</c:v>
                </c:pt>
                <c:pt idx="9">
                  <c:v>16.8</c:v>
                </c:pt>
                <c:pt idx="10">
                  <c:v>17.100000000000001</c:v>
                </c:pt>
                <c:pt idx="11">
                  <c:v>17.100000000000001</c:v>
                </c:pt>
                <c:pt idx="12">
                  <c:v>17.5</c:v>
                </c:pt>
                <c:pt idx="13">
                  <c:v>17.7</c:v>
                </c:pt>
                <c:pt idx="14">
                  <c:v>17.399999999999999</c:v>
                </c:pt>
                <c:pt idx="15">
                  <c:v>17.100000000000001</c:v>
                </c:pt>
                <c:pt idx="16">
                  <c:v>17.100000000000001</c:v>
                </c:pt>
                <c:pt idx="17">
                  <c:v>16.7</c:v>
                </c:pt>
                <c:pt idx="18">
                  <c:v>15.2</c:v>
                </c:pt>
                <c:pt idx="19">
                  <c:v>13.7</c:v>
                </c:pt>
                <c:pt idx="20">
                  <c:v>13</c:v>
                </c:pt>
                <c:pt idx="21">
                  <c:v>13.4</c:v>
                </c:pt>
                <c:pt idx="22">
                  <c:v>13.7</c:v>
                </c:pt>
                <c:pt idx="23">
                  <c:v>13.9</c:v>
                </c:pt>
                <c:pt idx="24">
                  <c:v>14.4</c:v>
                </c:pt>
                <c:pt idx="25">
                  <c:v>14.1</c:v>
                </c:pt>
                <c:pt idx="26">
                  <c:v>13.9</c:v>
                </c:pt>
                <c:pt idx="27">
                  <c:v>14</c:v>
                </c:pt>
                <c:pt idx="28">
                  <c:v>14.7</c:v>
                </c:pt>
                <c:pt idx="29">
                  <c:v>16.3</c:v>
                </c:pt>
                <c:pt idx="30">
                  <c:v>17.3</c:v>
                </c:pt>
                <c:pt idx="31">
                  <c:v>17.600000000000001</c:v>
                </c:pt>
                <c:pt idx="32">
                  <c:v>18</c:v>
                </c:pt>
                <c:pt idx="33">
                  <c:v>19.5</c:v>
                </c:pt>
                <c:pt idx="34">
                  <c:v>22.3</c:v>
                </c:pt>
                <c:pt idx="35">
                  <c:v>24.1</c:v>
                </c:pt>
                <c:pt idx="36">
                  <c:v>23.8</c:v>
                </c:pt>
                <c:pt idx="37">
                  <c:v>24.1</c:v>
                </c:pt>
                <c:pt idx="38">
                  <c:v>26</c:v>
                </c:pt>
                <c:pt idx="39">
                  <c:v>26.5</c:v>
                </c:pt>
                <c:pt idx="40">
                  <c:v>26.7</c:v>
                </c:pt>
                <c:pt idx="41">
                  <c:v>26.9</c:v>
                </c:pt>
                <c:pt idx="42">
                  <c:v>26.8</c:v>
                </c:pt>
                <c:pt idx="43">
                  <c:v>27.2</c:v>
                </c:pt>
                <c:pt idx="44">
                  <c:v>28.1</c:v>
                </c:pt>
                <c:pt idx="45">
                  <c:v>28.9</c:v>
                </c:pt>
                <c:pt idx="46">
                  <c:v>29.1</c:v>
                </c:pt>
                <c:pt idx="47">
                  <c:v>29.6</c:v>
                </c:pt>
                <c:pt idx="48">
                  <c:v>29.9</c:v>
                </c:pt>
                <c:pt idx="49">
                  <c:v>30.2</c:v>
                </c:pt>
                <c:pt idx="50">
                  <c:v>30.6</c:v>
                </c:pt>
                <c:pt idx="51">
                  <c:v>31</c:v>
                </c:pt>
                <c:pt idx="52">
                  <c:v>31.5</c:v>
                </c:pt>
                <c:pt idx="53">
                  <c:v>32.4</c:v>
                </c:pt>
                <c:pt idx="54">
                  <c:v>33.4</c:v>
                </c:pt>
                <c:pt idx="55">
                  <c:v>34.799999999999997</c:v>
                </c:pt>
                <c:pt idx="56">
                  <c:v>36.700000000000003</c:v>
                </c:pt>
                <c:pt idx="57">
                  <c:v>38.799999999999997</c:v>
                </c:pt>
                <c:pt idx="58">
                  <c:v>40.5</c:v>
                </c:pt>
                <c:pt idx="59">
                  <c:v>41.8</c:v>
                </c:pt>
                <c:pt idx="60">
                  <c:v>44.4</c:v>
                </c:pt>
                <c:pt idx="61">
                  <c:v>49.3</c:v>
                </c:pt>
                <c:pt idx="62">
                  <c:v>53.8</c:v>
                </c:pt>
                <c:pt idx="63">
                  <c:v>56.9</c:v>
                </c:pt>
                <c:pt idx="64">
                  <c:v>60.6</c:v>
                </c:pt>
                <c:pt idx="65">
                  <c:v>65.2</c:v>
                </c:pt>
                <c:pt idx="66">
                  <c:v>72.599999999999994</c:v>
                </c:pt>
                <c:pt idx="67">
                  <c:v>82.4</c:v>
                </c:pt>
                <c:pt idx="68">
                  <c:v>90.9</c:v>
                </c:pt>
                <c:pt idx="69">
                  <c:v>96.5</c:v>
                </c:pt>
                <c:pt idx="70">
                  <c:v>99.6</c:v>
                </c:pt>
                <c:pt idx="71">
                  <c:v>103.9</c:v>
                </c:pt>
                <c:pt idx="72">
                  <c:v>107.6</c:v>
                </c:pt>
                <c:pt idx="73">
                  <c:v>109.6</c:v>
                </c:pt>
                <c:pt idx="74">
                  <c:v>113.6</c:v>
                </c:pt>
                <c:pt idx="75">
                  <c:v>118.3</c:v>
                </c:pt>
                <c:pt idx="76">
                  <c:v>124</c:v>
                </c:pt>
                <c:pt idx="77">
                  <c:v>130.69999999999999</c:v>
                </c:pt>
                <c:pt idx="78">
                  <c:v>136.19999999999999</c:v>
                </c:pt>
                <c:pt idx="79">
                  <c:v>140.30000000000001</c:v>
                </c:pt>
                <c:pt idx="80">
                  <c:v>144.5</c:v>
                </c:pt>
                <c:pt idx="81">
                  <c:v>148.19999999999999</c:v>
                </c:pt>
                <c:pt idx="82">
                  <c:v>152.4</c:v>
                </c:pt>
                <c:pt idx="83">
                  <c:v>156.9</c:v>
                </c:pt>
                <c:pt idx="84">
                  <c:v>160.5</c:v>
                </c:pt>
                <c:pt idx="85">
                  <c:v>163</c:v>
                </c:pt>
                <c:pt idx="86">
                  <c:v>166.6</c:v>
                </c:pt>
                <c:pt idx="87">
                  <c:v>172.2</c:v>
                </c:pt>
                <c:pt idx="88">
                  <c:v>177.1</c:v>
                </c:pt>
                <c:pt idx="89">
                  <c:v>179.9</c:v>
                </c:pt>
                <c:pt idx="90">
                  <c:v>184</c:v>
                </c:pt>
                <c:pt idx="91">
                  <c:v>188.9</c:v>
                </c:pt>
                <c:pt idx="92">
                  <c:v>195.3</c:v>
                </c:pt>
                <c:pt idx="93">
                  <c:v>201.6</c:v>
                </c:pt>
                <c:pt idx="94">
                  <c:v>207.3</c:v>
                </c:pt>
                <c:pt idx="95">
                  <c:v>215.303</c:v>
                </c:pt>
                <c:pt idx="96">
                  <c:v>214.53700000000001</c:v>
                </c:pt>
                <c:pt idx="97">
                  <c:v>218.05600000000001</c:v>
                </c:pt>
                <c:pt idx="98">
                  <c:v>224.93899999999999</c:v>
                </c:pt>
                <c:pt idx="99">
                  <c:v>229.59399999999999</c:v>
                </c:pt>
                <c:pt idx="100">
                  <c:v>232.95699999999999</c:v>
                </c:pt>
                <c:pt idx="101">
                  <c:v>236.73599999999999</c:v>
                </c:pt>
                <c:pt idx="102">
                  <c:v>237.017</c:v>
                </c:pt>
                <c:pt idx="103">
                  <c:v>240.00700000000001</c:v>
                </c:pt>
                <c:pt idx="104">
                  <c:v>245.12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1A-4B03-AAD9-82E38EC63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9483080"/>
        <c:axId val="440272296"/>
      </c:lineChart>
      <c:catAx>
        <c:axId val="43948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272296"/>
        <c:crosses val="autoZero"/>
        <c:auto val="1"/>
        <c:lblAlgn val="ctr"/>
        <c:lblOffset val="100"/>
        <c:noMultiLvlLbl val="0"/>
      </c:catAx>
      <c:valAx>
        <c:axId val="440272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483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CPI!$O$1</c:f>
              <c:strCache>
                <c:ptCount val="1"/>
                <c:pt idx="0">
                  <c:v>Annual Change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CPI!$A$2:$A$107</c:f>
              <c:numCache>
                <c:formatCode>General</c:formatCode>
                <c:ptCount val="106"/>
                <c:pt idx="0">
                  <c:v>1913</c:v>
                </c:pt>
                <c:pt idx="1">
                  <c:v>1914</c:v>
                </c:pt>
                <c:pt idx="2">
                  <c:v>1915</c:v>
                </c:pt>
                <c:pt idx="3">
                  <c:v>1916</c:v>
                </c:pt>
                <c:pt idx="4">
                  <c:v>1917</c:v>
                </c:pt>
                <c:pt idx="5">
                  <c:v>1918</c:v>
                </c:pt>
                <c:pt idx="6">
                  <c:v>1919</c:v>
                </c:pt>
                <c:pt idx="7">
                  <c:v>1920</c:v>
                </c:pt>
                <c:pt idx="8">
                  <c:v>1921</c:v>
                </c:pt>
                <c:pt idx="9">
                  <c:v>1922</c:v>
                </c:pt>
                <c:pt idx="10">
                  <c:v>1923</c:v>
                </c:pt>
                <c:pt idx="11">
                  <c:v>1924</c:v>
                </c:pt>
                <c:pt idx="12">
                  <c:v>1925</c:v>
                </c:pt>
                <c:pt idx="13">
                  <c:v>1926</c:v>
                </c:pt>
                <c:pt idx="14">
                  <c:v>1927</c:v>
                </c:pt>
                <c:pt idx="15">
                  <c:v>1928</c:v>
                </c:pt>
                <c:pt idx="16">
                  <c:v>1929</c:v>
                </c:pt>
                <c:pt idx="17">
                  <c:v>1930</c:v>
                </c:pt>
                <c:pt idx="18">
                  <c:v>1931</c:v>
                </c:pt>
                <c:pt idx="19">
                  <c:v>1932</c:v>
                </c:pt>
                <c:pt idx="20">
                  <c:v>1933</c:v>
                </c:pt>
                <c:pt idx="21">
                  <c:v>1934</c:v>
                </c:pt>
                <c:pt idx="22">
                  <c:v>1935</c:v>
                </c:pt>
                <c:pt idx="23">
                  <c:v>1936</c:v>
                </c:pt>
                <c:pt idx="24">
                  <c:v>1937</c:v>
                </c:pt>
                <c:pt idx="25">
                  <c:v>1938</c:v>
                </c:pt>
                <c:pt idx="26">
                  <c:v>1939</c:v>
                </c:pt>
                <c:pt idx="27">
                  <c:v>1940</c:v>
                </c:pt>
                <c:pt idx="28">
                  <c:v>1941</c:v>
                </c:pt>
                <c:pt idx="29">
                  <c:v>1942</c:v>
                </c:pt>
                <c:pt idx="30">
                  <c:v>1943</c:v>
                </c:pt>
                <c:pt idx="31">
                  <c:v>1944</c:v>
                </c:pt>
                <c:pt idx="32">
                  <c:v>1945</c:v>
                </c:pt>
                <c:pt idx="33">
                  <c:v>1946</c:v>
                </c:pt>
                <c:pt idx="34">
                  <c:v>1947</c:v>
                </c:pt>
                <c:pt idx="35">
                  <c:v>1948</c:v>
                </c:pt>
                <c:pt idx="36">
                  <c:v>1949</c:v>
                </c:pt>
                <c:pt idx="37">
                  <c:v>1950</c:v>
                </c:pt>
                <c:pt idx="38">
                  <c:v>1951</c:v>
                </c:pt>
                <c:pt idx="39">
                  <c:v>1952</c:v>
                </c:pt>
                <c:pt idx="40">
                  <c:v>1953</c:v>
                </c:pt>
                <c:pt idx="41">
                  <c:v>1954</c:v>
                </c:pt>
                <c:pt idx="42">
                  <c:v>1955</c:v>
                </c:pt>
                <c:pt idx="43">
                  <c:v>1956</c:v>
                </c:pt>
                <c:pt idx="44">
                  <c:v>1957</c:v>
                </c:pt>
                <c:pt idx="45">
                  <c:v>1958</c:v>
                </c:pt>
                <c:pt idx="46">
                  <c:v>1959</c:v>
                </c:pt>
                <c:pt idx="47">
                  <c:v>1960</c:v>
                </c:pt>
                <c:pt idx="48">
                  <c:v>1961</c:v>
                </c:pt>
                <c:pt idx="49">
                  <c:v>1962</c:v>
                </c:pt>
                <c:pt idx="50">
                  <c:v>1963</c:v>
                </c:pt>
                <c:pt idx="51">
                  <c:v>1964</c:v>
                </c:pt>
                <c:pt idx="52">
                  <c:v>1965</c:v>
                </c:pt>
                <c:pt idx="53">
                  <c:v>1966</c:v>
                </c:pt>
                <c:pt idx="54">
                  <c:v>1967</c:v>
                </c:pt>
                <c:pt idx="55">
                  <c:v>1968</c:v>
                </c:pt>
                <c:pt idx="56">
                  <c:v>1969</c:v>
                </c:pt>
                <c:pt idx="57">
                  <c:v>1970</c:v>
                </c:pt>
                <c:pt idx="58">
                  <c:v>1971</c:v>
                </c:pt>
                <c:pt idx="59">
                  <c:v>1972</c:v>
                </c:pt>
                <c:pt idx="60">
                  <c:v>1973</c:v>
                </c:pt>
                <c:pt idx="61">
                  <c:v>1974</c:v>
                </c:pt>
                <c:pt idx="62">
                  <c:v>1975</c:v>
                </c:pt>
                <c:pt idx="63">
                  <c:v>1976</c:v>
                </c:pt>
                <c:pt idx="64">
                  <c:v>1977</c:v>
                </c:pt>
                <c:pt idx="65">
                  <c:v>1978</c:v>
                </c:pt>
                <c:pt idx="66">
                  <c:v>1979</c:v>
                </c:pt>
                <c:pt idx="67">
                  <c:v>1980</c:v>
                </c:pt>
                <c:pt idx="68">
                  <c:v>1981</c:v>
                </c:pt>
                <c:pt idx="69">
                  <c:v>1982</c:v>
                </c:pt>
                <c:pt idx="70">
                  <c:v>1983</c:v>
                </c:pt>
                <c:pt idx="71">
                  <c:v>1984</c:v>
                </c:pt>
                <c:pt idx="72">
                  <c:v>1985</c:v>
                </c:pt>
                <c:pt idx="73">
                  <c:v>1986</c:v>
                </c:pt>
                <c:pt idx="74">
                  <c:v>1987</c:v>
                </c:pt>
                <c:pt idx="75">
                  <c:v>1988</c:v>
                </c:pt>
                <c:pt idx="76">
                  <c:v>1989</c:v>
                </c:pt>
                <c:pt idx="77">
                  <c:v>1990</c:v>
                </c:pt>
                <c:pt idx="78">
                  <c:v>1991</c:v>
                </c:pt>
                <c:pt idx="79">
                  <c:v>1992</c:v>
                </c:pt>
                <c:pt idx="80">
                  <c:v>1993</c:v>
                </c:pt>
                <c:pt idx="81">
                  <c:v>1994</c:v>
                </c:pt>
                <c:pt idx="82">
                  <c:v>1995</c:v>
                </c:pt>
                <c:pt idx="83">
                  <c:v>1996</c:v>
                </c:pt>
                <c:pt idx="84">
                  <c:v>1997</c:v>
                </c:pt>
                <c:pt idx="85">
                  <c:v>1998</c:v>
                </c:pt>
                <c:pt idx="86">
                  <c:v>1999</c:v>
                </c:pt>
                <c:pt idx="87">
                  <c:v>2000</c:v>
                </c:pt>
                <c:pt idx="88">
                  <c:v>2001</c:v>
                </c:pt>
                <c:pt idx="89">
                  <c:v>2002</c:v>
                </c:pt>
                <c:pt idx="90">
                  <c:v>2003</c:v>
                </c:pt>
                <c:pt idx="91">
                  <c:v>2004</c:v>
                </c:pt>
                <c:pt idx="92">
                  <c:v>2005</c:v>
                </c:pt>
                <c:pt idx="93">
                  <c:v>2006</c:v>
                </c:pt>
                <c:pt idx="94">
                  <c:v>2007</c:v>
                </c:pt>
                <c:pt idx="95">
                  <c:v>2008</c:v>
                </c:pt>
                <c:pt idx="96">
                  <c:v>2009</c:v>
                </c:pt>
                <c:pt idx="97">
                  <c:v>2010</c:v>
                </c:pt>
                <c:pt idx="98">
                  <c:v>2011</c:v>
                </c:pt>
                <c:pt idx="99">
                  <c:v>2012</c:v>
                </c:pt>
                <c:pt idx="100">
                  <c:v>2013</c:v>
                </c:pt>
                <c:pt idx="101">
                  <c:v>2014</c:v>
                </c:pt>
                <c:pt idx="102">
                  <c:v>2015</c:v>
                </c:pt>
                <c:pt idx="103">
                  <c:v>2016</c:v>
                </c:pt>
                <c:pt idx="104">
                  <c:v>2017</c:v>
                </c:pt>
                <c:pt idx="105">
                  <c:v>2018</c:v>
                </c:pt>
              </c:numCache>
            </c:numRef>
          </c:cat>
          <c:val>
            <c:numRef>
              <c:f>CPI!$O$2:$O$107</c:f>
              <c:numCache>
                <c:formatCode>General</c:formatCode>
                <c:ptCount val="10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7.9</c:v>
                </c:pt>
                <c:pt idx="4">
                  <c:v>17.399999999999999</c:v>
                </c:pt>
                <c:pt idx="5">
                  <c:v>18</c:v>
                </c:pt>
                <c:pt idx="6">
                  <c:v>14.6</c:v>
                </c:pt>
                <c:pt idx="7">
                  <c:v>15.6</c:v>
                </c:pt>
                <c:pt idx="8">
                  <c:v>-10.5</c:v>
                </c:pt>
                <c:pt idx="9">
                  <c:v>-6.1</c:v>
                </c:pt>
                <c:pt idx="10">
                  <c:v>1.8</c:v>
                </c:pt>
                <c:pt idx="11">
                  <c:v>0</c:v>
                </c:pt>
                <c:pt idx="12">
                  <c:v>2.2999999999999998</c:v>
                </c:pt>
                <c:pt idx="13">
                  <c:v>1.1000000000000001</c:v>
                </c:pt>
                <c:pt idx="14">
                  <c:v>-1.7</c:v>
                </c:pt>
                <c:pt idx="15">
                  <c:v>-1.7</c:v>
                </c:pt>
                <c:pt idx="16">
                  <c:v>0</c:v>
                </c:pt>
                <c:pt idx="17">
                  <c:v>-2.2999999999999998</c:v>
                </c:pt>
                <c:pt idx="18">
                  <c:v>-9</c:v>
                </c:pt>
                <c:pt idx="19">
                  <c:v>-9.9</c:v>
                </c:pt>
                <c:pt idx="20">
                  <c:v>-5.0999999999999996</c:v>
                </c:pt>
                <c:pt idx="21">
                  <c:v>3.1</c:v>
                </c:pt>
                <c:pt idx="22">
                  <c:v>2.2000000000000002</c:v>
                </c:pt>
                <c:pt idx="23">
                  <c:v>1.5</c:v>
                </c:pt>
                <c:pt idx="24">
                  <c:v>3.6</c:v>
                </c:pt>
                <c:pt idx="25">
                  <c:v>-2.1</c:v>
                </c:pt>
                <c:pt idx="26">
                  <c:v>-1.4</c:v>
                </c:pt>
                <c:pt idx="27">
                  <c:v>0.7</c:v>
                </c:pt>
                <c:pt idx="28">
                  <c:v>5</c:v>
                </c:pt>
                <c:pt idx="29">
                  <c:v>10.9</c:v>
                </c:pt>
                <c:pt idx="30">
                  <c:v>6.1</c:v>
                </c:pt>
                <c:pt idx="31">
                  <c:v>1.7</c:v>
                </c:pt>
                <c:pt idx="32">
                  <c:v>2.2999999999999998</c:v>
                </c:pt>
                <c:pt idx="33">
                  <c:v>8.3000000000000007</c:v>
                </c:pt>
                <c:pt idx="34">
                  <c:v>14.4</c:v>
                </c:pt>
                <c:pt idx="35">
                  <c:v>8.1</c:v>
                </c:pt>
                <c:pt idx="36">
                  <c:v>-1.2</c:v>
                </c:pt>
                <c:pt idx="37">
                  <c:v>1.3</c:v>
                </c:pt>
                <c:pt idx="38">
                  <c:v>7.9</c:v>
                </c:pt>
                <c:pt idx="39">
                  <c:v>1.9</c:v>
                </c:pt>
                <c:pt idx="40">
                  <c:v>0.8</c:v>
                </c:pt>
                <c:pt idx="41">
                  <c:v>0.7</c:v>
                </c:pt>
                <c:pt idx="42">
                  <c:v>-0.4</c:v>
                </c:pt>
                <c:pt idx="43">
                  <c:v>1.5</c:v>
                </c:pt>
                <c:pt idx="44">
                  <c:v>3.3</c:v>
                </c:pt>
                <c:pt idx="45">
                  <c:v>2.8</c:v>
                </c:pt>
                <c:pt idx="46">
                  <c:v>0.7</c:v>
                </c:pt>
                <c:pt idx="47">
                  <c:v>1.7</c:v>
                </c:pt>
                <c:pt idx="48">
                  <c:v>1</c:v>
                </c:pt>
                <c:pt idx="49">
                  <c:v>1</c:v>
                </c:pt>
                <c:pt idx="50">
                  <c:v>1.3</c:v>
                </c:pt>
                <c:pt idx="51">
                  <c:v>1.3</c:v>
                </c:pt>
                <c:pt idx="52">
                  <c:v>1.6</c:v>
                </c:pt>
                <c:pt idx="53">
                  <c:v>2.9</c:v>
                </c:pt>
                <c:pt idx="54">
                  <c:v>3.1</c:v>
                </c:pt>
                <c:pt idx="55">
                  <c:v>4.2</c:v>
                </c:pt>
                <c:pt idx="56">
                  <c:v>5.5</c:v>
                </c:pt>
                <c:pt idx="57">
                  <c:v>5.7</c:v>
                </c:pt>
                <c:pt idx="58">
                  <c:v>4.4000000000000004</c:v>
                </c:pt>
                <c:pt idx="59">
                  <c:v>3.2</c:v>
                </c:pt>
                <c:pt idx="60">
                  <c:v>6.2</c:v>
                </c:pt>
                <c:pt idx="61">
                  <c:v>11</c:v>
                </c:pt>
                <c:pt idx="62">
                  <c:v>9.1</c:v>
                </c:pt>
                <c:pt idx="63">
                  <c:v>5.8</c:v>
                </c:pt>
                <c:pt idx="64">
                  <c:v>6.5</c:v>
                </c:pt>
                <c:pt idx="65">
                  <c:v>7.6</c:v>
                </c:pt>
                <c:pt idx="66">
                  <c:v>11.3</c:v>
                </c:pt>
                <c:pt idx="67">
                  <c:v>13.5</c:v>
                </c:pt>
                <c:pt idx="68">
                  <c:v>10.3</c:v>
                </c:pt>
                <c:pt idx="69">
                  <c:v>6.2</c:v>
                </c:pt>
                <c:pt idx="70">
                  <c:v>3.2</c:v>
                </c:pt>
                <c:pt idx="71">
                  <c:v>4.3</c:v>
                </c:pt>
                <c:pt idx="72">
                  <c:v>3.6</c:v>
                </c:pt>
                <c:pt idx="73">
                  <c:v>1.9</c:v>
                </c:pt>
                <c:pt idx="74">
                  <c:v>3.6</c:v>
                </c:pt>
                <c:pt idx="75">
                  <c:v>4.0999999999999996</c:v>
                </c:pt>
                <c:pt idx="76">
                  <c:v>4.8</c:v>
                </c:pt>
                <c:pt idx="77">
                  <c:v>5.4</c:v>
                </c:pt>
                <c:pt idx="78">
                  <c:v>4.2</c:v>
                </c:pt>
                <c:pt idx="79">
                  <c:v>3</c:v>
                </c:pt>
                <c:pt idx="80">
                  <c:v>3</c:v>
                </c:pt>
                <c:pt idx="81">
                  <c:v>2.6</c:v>
                </c:pt>
                <c:pt idx="82">
                  <c:v>2.8</c:v>
                </c:pt>
                <c:pt idx="83">
                  <c:v>3</c:v>
                </c:pt>
                <c:pt idx="84">
                  <c:v>2.2999999999999998</c:v>
                </c:pt>
                <c:pt idx="85">
                  <c:v>1.6</c:v>
                </c:pt>
                <c:pt idx="86">
                  <c:v>2.2000000000000002</c:v>
                </c:pt>
                <c:pt idx="87">
                  <c:v>3.4</c:v>
                </c:pt>
                <c:pt idx="88">
                  <c:v>2.8</c:v>
                </c:pt>
                <c:pt idx="89">
                  <c:v>1.6</c:v>
                </c:pt>
                <c:pt idx="90">
                  <c:v>2.2999999999999998</c:v>
                </c:pt>
                <c:pt idx="91">
                  <c:v>2.7</c:v>
                </c:pt>
                <c:pt idx="92">
                  <c:v>3.4</c:v>
                </c:pt>
                <c:pt idx="93">
                  <c:v>3.2</c:v>
                </c:pt>
                <c:pt idx="94">
                  <c:v>2.8</c:v>
                </c:pt>
                <c:pt idx="95">
                  <c:v>3.8</c:v>
                </c:pt>
                <c:pt idx="96">
                  <c:v>-0.4</c:v>
                </c:pt>
                <c:pt idx="97">
                  <c:v>1.6</c:v>
                </c:pt>
                <c:pt idx="98">
                  <c:v>3.2</c:v>
                </c:pt>
                <c:pt idx="99">
                  <c:v>2.1</c:v>
                </c:pt>
                <c:pt idx="100">
                  <c:v>1.5</c:v>
                </c:pt>
                <c:pt idx="101">
                  <c:v>1.6</c:v>
                </c:pt>
                <c:pt idx="102">
                  <c:v>0.1</c:v>
                </c:pt>
                <c:pt idx="103">
                  <c:v>1.3</c:v>
                </c:pt>
                <c:pt idx="104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0C-4FEC-9A96-247E0705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273080"/>
        <c:axId val="440273472"/>
      </c:lineChart>
      <c:catAx>
        <c:axId val="44027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273472"/>
        <c:crosses val="autoZero"/>
        <c:auto val="1"/>
        <c:lblAlgn val="ctr"/>
        <c:lblOffset val="100"/>
        <c:noMultiLvlLbl val="0"/>
      </c:catAx>
      <c:valAx>
        <c:axId val="44027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273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Trend</a:t>
            </a:r>
            <a:r>
              <a:rPr lang="en-US" baseline="0"/>
              <a:t> since 1970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CPI!$A$59:$A$106</c:f>
              <c:numCache>
                <c:formatCode>General</c:formatCode>
                <c:ptCount val="4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</c:numCache>
            </c:numRef>
          </c:cat>
          <c:val>
            <c:numRef>
              <c:f>CPI!$N$59:$N$106</c:f>
              <c:numCache>
                <c:formatCode>General</c:formatCode>
                <c:ptCount val="48"/>
                <c:pt idx="0">
                  <c:v>38.799999999999997</c:v>
                </c:pt>
                <c:pt idx="1">
                  <c:v>40.5</c:v>
                </c:pt>
                <c:pt idx="2">
                  <c:v>41.8</c:v>
                </c:pt>
                <c:pt idx="3">
                  <c:v>44.4</c:v>
                </c:pt>
                <c:pt idx="4">
                  <c:v>49.3</c:v>
                </c:pt>
                <c:pt idx="5">
                  <c:v>53.8</c:v>
                </c:pt>
                <c:pt idx="6">
                  <c:v>56.9</c:v>
                </c:pt>
                <c:pt idx="7">
                  <c:v>60.6</c:v>
                </c:pt>
                <c:pt idx="8">
                  <c:v>65.2</c:v>
                </c:pt>
                <c:pt idx="9">
                  <c:v>72.599999999999994</c:v>
                </c:pt>
                <c:pt idx="10">
                  <c:v>82.4</c:v>
                </c:pt>
                <c:pt idx="11">
                  <c:v>90.9</c:v>
                </c:pt>
                <c:pt idx="12">
                  <c:v>96.5</c:v>
                </c:pt>
                <c:pt idx="13">
                  <c:v>99.6</c:v>
                </c:pt>
                <c:pt idx="14">
                  <c:v>103.9</c:v>
                </c:pt>
                <c:pt idx="15">
                  <c:v>107.6</c:v>
                </c:pt>
                <c:pt idx="16">
                  <c:v>109.6</c:v>
                </c:pt>
                <c:pt idx="17">
                  <c:v>113.6</c:v>
                </c:pt>
                <c:pt idx="18">
                  <c:v>118.3</c:v>
                </c:pt>
                <c:pt idx="19">
                  <c:v>124</c:v>
                </c:pt>
                <c:pt idx="20">
                  <c:v>130.69999999999999</c:v>
                </c:pt>
                <c:pt idx="21">
                  <c:v>136.19999999999999</c:v>
                </c:pt>
                <c:pt idx="22">
                  <c:v>140.30000000000001</c:v>
                </c:pt>
                <c:pt idx="23">
                  <c:v>144.5</c:v>
                </c:pt>
                <c:pt idx="24">
                  <c:v>148.19999999999999</c:v>
                </c:pt>
                <c:pt idx="25">
                  <c:v>152.4</c:v>
                </c:pt>
                <c:pt idx="26">
                  <c:v>156.9</c:v>
                </c:pt>
                <c:pt idx="27">
                  <c:v>160.5</c:v>
                </c:pt>
                <c:pt idx="28">
                  <c:v>163</c:v>
                </c:pt>
                <c:pt idx="29">
                  <c:v>166.6</c:v>
                </c:pt>
                <c:pt idx="30">
                  <c:v>172.2</c:v>
                </c:pt>
                <c:pt idx="31">
                  <c:v>177.1</c:v>
                </c:pt>
                <c:pt idx="32">
                  <c:v>179.9</c:v>
                </c:pt>
                <c:pt idx="33">
                  <c:v>184</c:v>
                </c:pt>
                <c:pt idx="34">
                  <c:v>188.9</c:v>
                </c:pt>
                <c:pt idx="35">
                  <c:v>195.3</c:v>
                </c:pt>
                <c:pt idx="36">
                  <c:v>201.6</c:v>
                </c:pt>
                <c:pt idx="37">
                  <c:v>207.3</c:v>
                </c:pt>
                <c:pt idx="38">
                  <c:v>215.303</c:v>
                </c:pt>
                <c:pt idx="39">
                  <c:v>214.53700000000001</c:v>
                </c:pt>
                <c:pt idx="40">
                  <c:v>218.05600000000001</c:v>
                </c:pt>
                <c:pt idx="41">
                  <c:v>224.93899999999999</c:v>
                </c:pt>
                <c:pt idx="42">
                  <c:v>229.59399999999999</c:v>
                </c:pt>
                <c:pt idx="43">
                  <c:v>232.95699999999999</c:v>
                </c:pt>
                <c:pt idx="44">
                  <c:v>236.73599999999999</c:v>
                </c:pt>
                <c:pt idx="45">
                  <c:v>237.017</c:v>
                </c:pt>
                <c:pt idx="46">
                  <c:v>240.00700000000001</c:v>
                </c:pt>
                <c:pt idx="47">
                  <c:v>245.12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06-4A96-8168-4D748EEBE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360680"/>
        <c:axId val="441361072"/>
      </c:lineChart>
      <c:catAx>
        <c:axId val="441360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361072"/>
        <c:crosses val="autoZero"/>
        <c:auto val="1"/>
        <c:lblAlgn val="ctr"/>
        <c:lblOffset val="100"/>
        <c:noMultiLvlLbl val="0"/>
      </c:catAx>
      <c:valAx>
        <c:axId val="44136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360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</a:rPr>
              <a:t>Inflation &amp; Value of Dollar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Cost Price Index 2015 to 2085</c:v>
          </c:tx>
          <c:spPr>
            <a:ln w="6350" cap="rnd">
              <a:solidFill>
                <a:schemeClr val="accent1">
                  <a:alpha val="50000"/>
                </a:schemeClr>
              </a:solidFill>
              <a:prstDash val="lgDash"/>
              <a:round/>
            </a:ln>
            <a:effectLst/>
          </c:spPr>
          <c:marker>
            <c:symbol val="diamond"/>
            <c:size val="3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xVal>
            <c:numRef>
              <c:f>CPI!$T$87:$T$157</c:f>
              <c:numCache>
                <c:formatCode>General</c:formatCode>
                <c:ptCount val="7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  <c:pt idx="36">
                  <c:v>2051</c:v>
                </c:pt>
                <c:pt idx="37">
                  <c:v>2052</c:v>
                </c:pt>
                <c:pt idx="38">
                  <c:v>2053</c:v>
                </c:pt>
                <c:pt idx="39">
                  <c:v>2054</c:v>
                </c:pt>
                <c:pt idx="40">
                  <c:v>2055</c:v>
                </c:pt>
                <c:pt idx="41">
                  <c:v>2056</c:v>
                </c:pt>
                <c:pt idx="42">
                  <c:v>2057</c:v>
                </c:pt>
                <c:pt idx="43">
                  <c:v>2058</c:v>
                </c:pt>
                <c:pt idx="44">
                  <c:v>2059</c:v>
                </c:pt>
                <c:pt idx="45">
                  <c:v>2060</c:v>
                </c:pt>
                <c:pt idx="46">
                  <c:v>2061</c:v>
                </c:pt>
                <c:pt idx="47">
                  <c:v>2062</c:v>
                </c:pt>
                <c:pt idx="48">
                  <c:v>2063</c:v>
                </c:pt>
                <c:pt idx="49">
                  <c:v>2064</c:v>
                </c:pt>
                <c:pt idx="50">
                  <c:v>2065</c:v>
                </c:pt>
                <c:pt idx="51">
                  <c:v>2066</c:v>
                </c:pt>
                <c:pt idx="52">
                  <c:v>2067</c:v>
                </c:pt>
                <c:pt idx="53">
                  <c:v>2068</c:v>
                </c:pt>
                <c:pt idx="54">
                  <c:v>2069</c:v>
                </c:pt>
                <c:pt idx="55">
                  <c:v>2070</c:v>
                </c:pt>
                <c:pt idx="56">
                  <c:v>2071</c:v>
                </c:pt>
                <c:pt idx="57">
                  <c:v>2072</c:v>
                </c:pt>
                <c:pt idx="58">
                  <c:v>2073</c:v>
                </c:pt>
                <c:pt idx="59">
                  <c:v>2074</c:v>
                </c:pt>
                <c:pt idx="60">
                  <c:v>2075</c:v>
                </c:pt>
                <c:pt idx="61">
                  <c:v>2076</c:v>
                </c:pt>
                <c:pt idx="62">
                  <c:v>2077</c:v>
                </c:pt>
                <c:pt idx="63">
                  <c:v>2078</c:v>
                </c:pt>
                <c:pt idx="64">
                  <c:v>2079</c:v>
                </c:pt>
                <c:pt idx="65">
                  <c:v>2080</c:v>
                </c:pt>
                <c:pt idx="66">
                  <c:v>2081</c:v>
                </c:pt>
                <c:pt idx="67">
                  <c:v>2082</c:v>
                </c:pt>
                <c:pt idx="68">
                  <c:v>2083</c:v>
                </c:pt>
                <c:pt idx="69">
                  <c:v>2084</c:v>
                </c:pt>
                <c:pt idx="70">
                  <c:v>2085</c:v>
                </c:pt>
              </c:numCache>
            </c:numRef>
          </c:xVal>
          <c:yVal>
            <c:numRef>
              <c:f>CPI!$S$87:$S$157</c:f>
              <c:numCache>
                <c:formatCode>0.000</c:formatCode>
                <c:ptCount val="71"/>
                <c:pt idx="0">
                  <c:v>1</c:v>
                </c:pt>
                <c:pt idx="1">
                  <c:v>1.0126151288726126</c:v>
                </c:pt>
                <c:pt idx="2">
                  <c:v>1.0341874211554445</c:v>
                </c:pt>
                <c:pt idx="3">
                  <c:v>1.0586903049148375</c:v>
                </c:pt>
                <c:pt idx="4">
                  <c:v>1.0780441909230141</c:v>
                </c:pt>
                <c:pt idx="5">
                  <c:v>1.0973980769311908</c:v>
                </c:pt>
                <c:pt idx="6">
                  <c:v>1.1167519629393674</c:v>
                </c:pt>
                <c:pt idx="7">
                  <c:v>1.136105848947544</c:v>
                </c:pt>
                <c:pt idx="8">
                  <c:v>1.1554597349557205</c:v>
                </c:pt>
                <c:pt idx="9">
                  <c:v>1.1748136209638973</c:v>
                </c:pt>
                <c:pt idx="10">
                  <c:v>1.1941675069720739</c:v>
                </c:pt>
                <c:pt idx="11">
                  <c:v>1.2135213929802504</c:v>
                </c:pt>
                <c:pt idx="12">
                  <c:v>1.232875278988427</c:v>
                </c:pt>
                <c:pt idx="13">
                  <c:v>1.252229164996604</c:v>
                </c:pt>
                <c:pt idx="14">
                  <c:v>1.2715830510047805</c:v>
                </c:pt>
                <c:pt idx="15">
                  <c:v>1.2909369370129571</c:v>
                </c:pt>
                <c:pt idx="16">
                  <c:v>1.3102908230211336</c:v>
                </c:pt>
                <c:pt idx="17">
                  <c:v>1.3296447090293104</c:v>
                </c:pt>
                <c:pt idx="18">
                  <c:v>1.348998595037487</c:v>
                </c:pt>
                <c:pt idx="19">
                  <c:v>1.3683524810456635</c:v>
                </c:pt>
                <c:pt idx="20">
                  <c:v>1.3877063670538401</c:v>
                </c:pt>
                <c:pt idx="21">
                  <c:v>1.4070602530620167</c:v>
                </c:pt>
                <c:pt idx="22">
                  <c:v>1.4264141390701934</c:v>
                </c:pt>
                <c:pt idx="23">
                  <c:v>1.44576802507837</c:v>
                </c:pt>
                <c:pt idx="24">
                  <c:v>1.4651219110865465</c:v>
                </c:pt>
                <c:pt idx="25">
                  <c:v>1.4844757970947231</c:v>
                </c:pt>
                <c:pt idx="26">
                  <c:v>1.5038296831029001</c:v>
                </c:pt>
                <c:pt idx="27">
                  <c:v>1.5231835691110767</c:v>
                </c:pt>
                <c:pt idx="28">
                  <c:v>1.5425374551192532</c:v>
                </c:pt>
                <c:pt idx="29">
                  <c:v>1.5618913411274298</c:v>
                </c:pt>
                <c:pt idx="30">
                  <c:v>1.5812452271356066</c:v>
                </c:pt>
                <c:pt idx="31">
                  <c:v>1.6005991131437831</c:v>
                </c:pt>
                <c:pt idx="32">
                  <c:v>1.6199529991519597</c:v>
                </c:pt>
                <c:pt idx="33">
                  <c:v>1.6393068851601362</c:v>
                </c:pt>
                <c:pt idx="34">
                  <c:v>1.658660771168313</c:v>
                </c:pt>
                <c:pt idx="35">
                  <c:v>1.6780146571764896</c:v>
                </c:pt>
                <c:pt idx="36">
                  <c:v>1.6973685431846661</c:v>
                </c:pt>
                <c:pt idx="37">
                  <c:v>1.7167224291928427</c:v>
                </c:pt>
                <c:pt idx="38">
                  <c:v>1.7360763152010195</c:v>
                </c:pt>
                <c:pt idx="39">
                  <c:v>1.7554302012091962</c:v>
                </c:pt>
                <c:pt idx="40">
                  <c:v>1.7747840872173728</c:v>
                </c:pt>
                <c:pt idx="41">
                  <c:v>1.7941379732255494</c:v>
                </c:pt>
                <c:pt idx="42">
                  <c:v>1.8134918592337261</c:v>
                </c:pt>
                <c:pt idx="43">
                  <c:v>1.8328457452419027</c:v>
                </c:pt>
                <c:pt idx="44">
                  <c:v>1.8521996312500792</c:v>
                </c:pt>
                <c:pt idx="45">
                  <c:v>1.8715535172582558</c:v>
                </c:pt>
                <c:pt idx="46">
                  <c:v>1.8909074032664326</c:v>
                </c:pt>
                <c:pt idx="47">
                  <c:v>1.9102612892746091</c:v>
                </c:pt>
                <c:pt idx="48">
                  <c:v>1.9296151752827857</c:v>
                </c:pt>
                <c:pt idx="49">
                  <c:v>1.9489690612909623</c:v>
                </c:pt>
                <c:pt idx="50">
                  <c:v>1.968322947299139</c:v>
                </c:pt>
                <c:pt idx="51">
                  <c:v>1.9876768333073158</c:v>
                </c:pt>
                <c:pt idx="52">
                  <c:v>2.0070307193154924</c:v>
                </c:pt>
                <c:pt idx="53">
                  <c:v>2.0263846053236692</c:v>
                </c:pt>
                <c:pt idx="54">
                  <c:v>2.0457384913318455</c:v>
                </c:pt>
                <c:pt idx="55">
                  <c:v>2.0650923773400223</c:v>
                </c:pt>
                <c:pt idx="56">
                  <c:v>2.084446263348199</c:v>
                </c:pt>
                <c:pt idx="57">
                  <c:v>2.1038001493563754</c:v>
                </c:pt>
                <c:pt idx="58">
                  <c:v>2.1231540353645522</c:v>
                </c:pt>
                <c:pt idx="59">
                  <c:v>2.1425079213727285</c:v>
                </c:pt>
                <c:pt idx="60">
                  <c:v>2.1618618073809053</c:v>
                </c:pt>
                <c:pt idx="61">
                  <c:v>2.1812156933890816</c:v>
                </c:pt>
                <c:pt idx="62">
                  <c:v>2.2005695793972584</c:v>
                </c:pt>
                <c:pt idx="63">
                  <c:v>2.2199234654054347</c:v>
                </c:pt>
                <c:pt idx="64">
                  <c:v>2.2392773514136119</c:v>
                </c:pt>
                <c:pt idx="65">
                  <c:v>2.2586312374217887</c:v>
                </c:pt>
                <c:pt idx="66">
                  <c:v>2.2779851234299651</c:v>
                </c:pt>
                <c:pt idx="67">
                  <c:v>2.2973390094381414</c:v>
                </c:pt>
                <c:pt idx="68">
                  <c:v>2.3166928954463182</c:v>
                </c:pt>
                <c:pt idx="69">
                  <c:v>2.3360467814544945</c:v>
                </c:pt>
                <c:pt idx="70">
                  <c:v>2.3554006674626713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C1-42F0-9A2C-66579F9DA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361856"/>
        <c:axId val="441362248"/>
      </c:scatterChart>
      <c:scatterChart>
        <c:scatterStyle val="lineMarker"/>
        <c:varyColors val="0"/>
        <c:ser>
          <c:idx val="1"/>
          <c:order val="1"/>
          <c:tx>
            <c:v>$600 Inflated into Future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accent2"/>
              </a:solidFill>
              <a:ln w="3175">
                <a:noFill/>
                <a:miter lim="800000"/>
              </a:ln>
              <a:effectLst/>
            </c:spPr>
          </c:marker>
          <c:xVal>
            <c:numRef>
              <c:f>CPI!$T$87:$T$157</c:f>
              <c:numCache>
                <c:formatCode>General</c:formatCode>
                <c:ptCount val="7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  <c:pt idx="36">
                  <c:v>2051</c:v>
                </c:pt>
                <c:pt idx="37">
                  <c:v>2052</c:v>
                </c:pt>
                <c:pt idx="38">
                  <c:v>2053</c:v>
                </c:pt>
                <c:pt idx="39">
                  <c:v>2054</c:v>
                </c:pt>
                <c:pt idx="40">
                  <c:v>2055</c:v>
                </c:pt>
                <c:pt idx="41">
                  <c:v>2056</c:v>
                </c:pt>
                <c:pt idx="42">
                  <c:v>2057</c:v>
                </c:pt>
                <c:pt idx="43">
                  <c:v>2058</c:v>
                </c:pt>
                <c:pt idx="44">
                  <c:v>2059</c:v>
                </c:pt>
                <c:pt idx="45">
                  <c:v>2060</c:v>
                </c:pt>
                <c:pt idx="46">
                  <c:v>2061</c:v>
                </c:pt>
                <c:pt idx="47">
                  <c:v>2062</c:v>
                </c:pt>
                <c:pt idx="48">
                  <c:v>2063</c:v>
                </c:pt>
                <c:pt idx="49">
                  <c:v>2064</c:v>
                </c:pt>
                <c:pt idx="50">
                  <c:v>2065</c:v>
                </c:pt>
                <c:pt idx="51">
                  <c:v>2066</c:v>
                </c:pt>
                <c:pt idx="52">
                  <c:v>2067</c:v>
                </c:pt>
                <c:pt idx="53">
                  <c:v>2068</c:v>
                </c:pt>
                <c:pt idx="54">
                  <c:v>2069</c:v>
                </c:pt>
                <c:pt idx="55">
                  <c:v>2070</c:v>
                </c:pt>
                <c:pt idx="56">
                  <c:v>2071</c:v>
                </c:pt>
                <c:pt idx="57">
                  <c:v>2072</c:v>
                </c:pt>
                <c:pt idx="58">
                  <c:v>2073</c:v>
                </c:pt>
                <c:pt idx="59">
                  <c:v>2074</c:v>
                </c:pt>
                <c:pt idx="60">
                  <c:v>2075</c:v>
                </c:pt>
                <c:pt idx="61">
                  <c:v>2076</c:v>
                </c:pt>
                <c:pt idx="62">
                  <c:v>2077</c:v>
                </c:pt>
                <c:pt idx="63">
                  <c:v>2078</c:v>
                </c:pt>
                <c:pt idx="64">
                  <c:v>2079</c:v>
                </c:pt>
                <c:pt idx="65">
                  <c:v>2080</c:v>
                </c:pt>
                <c:pt idx="66">
                  <c:v>2081</c:v>
                </c:pt>
                <c:pt idx="67">
                  <c:v>2082</c:v>
                </c:pt>
                <c:pt idx="68">
                  <c:v>2083</c:v>
                </c:pt>
                <c:pt idx="69">
                  <c:v>2084</c:v>
                </c:pt>
                <c:pt idx="70">
                  <c:v>2085</c:v>
                </c:pt>
              </c:numCache>
            </c:numRef>
          </c:xVal>
          <c:yVal>
            <c:numRef>
              <c:f>CPI!$U$87:$U$157</c:f>
              <c:numCache>
                <c:formatCode>"$"#,##0.00</c:formatCode>
                <c:ptCount val="71"/>
                <c:pt idx="0">
                  <c:v>600</c:v>
                </c:pt>
                <c:pt idx="1">
                  <c:v>607.56907732356763</c:v>
                </c:pt>
                <c:pt idx="2">
                  <c:v>620.51245269326671</c:v>
                </c:pt>
                <c:pt idx="3">
                  <c:v>635.21418294890248</c:v>
                </c:pt>
                <c:pt idx="4">
                  <c:v>646.82651455380847</c:v>
                </c:pt>
                <c:pt idx="5">
                  <c:v>658.43884615871445</c:v>
                </c:pt>
                <c:pt idx="6">
                  <c:v>670.05117776362044</c:v>
                </c:pt>
                <c:pt idx="7">
                  <c:v>681.66350936852632</c:v>
                </c:pt>
                <c:pt idx="8">
                  <c:v>693.27584097343231</c:v>
                </c:pt>
                <c:pt idx="9">
                  <c:v>704.88817257833841</c:v>
                </c:pt>
                <c:pt idx="10">
                  <c:v>716.50050418324429</c:v>
                </c:pt>
                <c:pt idx="11">
                  <c:v>728.11283578815028</c:v>
                </c:pt>
                <c:pt idx="12">
                  <c:v>739.72516739305615</c:v>
                </c:pt>
                <c:pt idx="13">
                  <c:v>751.33749899796237</c:v>
                </c:pt>
                <c:pt idx="14">
                  <c:v>762.94983060286836</c:v>
                </c:pt>
                <c:pt idx="15">
                  <c:v>774.56216220777424</c:v>
                </c:pt>
                <c:pt idx="16">
                  <c:v>786.17449381268023</c:v>
                </c:pt>
                <c:pt idx="17">
                  <c:v>797.78682541758621</c:v>
                </c:pt>
                <c:pt idx="18">
                  <c:v>809.3991570224922</c:v>
                </c:pt>
                <c:pt idx="19">
                  <c:v>821.01148862739808</c:v>
                </c:pt>
                <c:pt idx="20">
                  <c:v>832.62382023230407</c:v>
                </c:pt>
                <c:pt idx="21">
                  <c:v>844.23615183720995</c:v>
                </c:pt>
                <c:pt idx="22">
                  <c:v>855.84848344211605</c:v>
                </c:pt>
                <c:pt idx="23">
                  <c:v>867.46081504702204</c:v>
                </c:pt>
                <c:pt idx="24">
                  <c:v>879.07314665192791</c:v>
                </c:pt>
                <c:pt idx="25">
                  <c:v>890.6854782568339</c:v>
                </c:pt>
                <c:pt idx="26">
                  <c:v>902.29780986174001</c:v>
                </c:pt>
                <c:pt idx="27">
                  <c:v>913.910141466646</c:v>
                </c:pt>
                <c:pt idx="28">
                  <c:v>925.52247307155199</c:v>
                </c:pt>
                <c:pt idx="29">
                  <c:v>937.13480467645786</c:v>
                </c:pt>
                <c:pt idx="30">
                  <c:v>948.74713628136396</c:v>
                </c:pt>
                <c:pt idx="31">
                  <c:v>960.35946788626984</c:v>
                </c:pt>
                <c:pt idx="32">
                  <c:v>971.97179949117583</c:v>
                </c:pt>
                <c:pt idx="33">
                  <c:v>983.58413109608171</c:v>
                </c:pt>
                <c:pt idx="34">
                  <c:v>995.19646270098781</c:v>
                </c:pt>
                <c:pt idx="35">
                  <c:v>1006.8087943058937</c:v>
                </c:pt>
                <c:pt idx="36">
                  <c:v>1018.4211259107997</c:v>
                </c:pt>
                <c:pt idx="37">
                  <c:v>1030.0334575157055</c:v>
                </c:pt>
                <c:pt idx="38">
                  <c:v>1041.6457891206117</c:v>
                </c:pt>
                <c:pt idx="39">
                  <c:v>1053.2581207255178</c:v>
                </c:pt>
                <c:pt idx="40">
                  <c:v>1064.8704523304236</c:v>
                </c:pt>
                <c:pt idx="41">
                  <c:v>1076.4827839353295</c:v>
                </c:pt>
                <c:pt idx="42">
                  <c:v>1088.0951155402356</c:v>
                </c:pt>
                <c:pt idx="43">
                  <c:v>1099.7074471451417</c:v>
                </c:pt>
                <c:pt idx="44">
                  <c:v>1111.3197787500476</c:v>
                </c:pt>
                <c:pt idx="45">
                  <c:v>1122.9321103549535</c:v>
                </c:pt>
                <c:pt idx="46">
                  <c:v>1134.5444419598596</c:v>
                </c:pt>
                <c:pt idx="47">
                  <c:v>1146.1567735647654</c:v>
                </c:pt>
                <c:pt idx="48">
                  <c:v>1157.7691051696713</c:v>
                </c:pt>
                <c:pt idx="49">
                  <c:v>1169.3814367745774</c:v>
                </c:pt>
                <c:pt idx="50">
                  <c:v>1180.9937683794835</c:v>
                </c:pt>
                <c:pt idx="51">
                  <c:v>1192.6060999843894</c:v>
                </c:pt>
                <c:pt idx="52">
                  <c:v>1204.2184315892955</c:v>
                </c:pt>
                <c:pt idx="53">
                  <c:v>1215.8307631942014</c:v>
                </c:pt>
                <c:pt idx="54">
                  <c:v>1227.4430947991073</c:v>
                </c:pt>
                <c:pt idx="55">
                  <c:v>1239.0554264040134</c:v>
                </c:pt>
                <c:pt idx="56">
                  <c:v>1250.6677580089195</c:v>
                </c:pt>
                <c:pt idx="57">
                  <c:v>1262.2800896138253</c:v>
                </c:pt>
                <c:pt idx="58">
                  <c:v>1273.8924212187312</c:v>
                </c:pt>
                <c:pt idx="59">
                  <c:v>1285.5047528236371</c:v>
                </c:pt>
                <c:pt idx="60">
                  <c:v>1297.1170844285432</c:v>
                </c:pt>
                <c:pt idx="61">
                  <c:v>1308.7294160334491</c:v>
                </c:pt>
                <c:pt idx="62">
                  <c:v>1320.3417476383549</c:v>
                </c:pt>
                <c:pt idx="63">
                  <c:v>1331.9540792432608</c:v>
                </c:pt>
                <c:pt idx="64">
                  <c:v>1343.5664108481672</c:v>
                </c:pt>
                <c:pt idx="65">
                  <c:v>1355.1787424530733</c:v>
                </c:pt>
                <c:pt idx="66">
                  <c:v>1366.7910740579791</c:v>
                </c:pt>
                <c:pt idx="67">
                  <c:v>1378.4034056628848</c:v>
                </c:pt>
                <c:pt idx="68">
                  <c:v>1390.0157372677909</c:v>
                </c:pt>
                <c:pt idx="69">
                  <c:v>1401.6280688726968</c:v>
                </c:pt>
                <c:pt idx="70">
                  <c:v>1413.2404004776029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C1-42F0-9A2C-66579F9DAFA2}"/>
            </c:ext>
          </c:extLst>
        </c:ser>
        <c:ser>
          <c:idx val="2"/>
          <c:order val="2"/>
          <c:tx>
            <c:v>Relative Value of $1000</c:v>
          </c:tx>
          <c:spPr>
            <a:ln w="6350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3"/>
            <c:spPr>
              <a:solidFill>
                <a:srgbClr val="FF0000"/>
              </a:solidFill>
              <a:ln w="6350">
                <a:gradFill>
                  <a:gsLst>
                    <a:gs pos="50000">
                      <a:srgbClr val="FF0000"/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</c:marker>
          <c:xVal>
            <c:numRef>
              <c:f>CPI!$T$87:$T$157</c:f>
              <c:numCache>
                <c:formatCode>General</c:formatCode>
                <c:ptCount val="7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  <c:pt idx="36">
                  <c:v>2051</c:v>
                </c:pt>
                <c:pt idx="37">
                  <c:v>2052</c:v>
                </c:pt>
                <c:pt idx="38">
                  <c:v>2053</c:v>
                </c:pt>
                <c:pt idx="39">
                  <c:v>2054</c:v>
                </c:pt>
                <c:pt idx="40">
                  <c:v>2055</c:v>
                </c:pt>
                <c:pt idx="41">
                  <c:v>2056</c:v>
                </c:pt>
                <c:pt idx="42">
                  <c:v>2057</c:v>
                </c:pt>
                <c:pt idx="43">
                  <c:v>2058</c:v>
                </c:pt>
                <c:pt idx="44">
                  <c:v>2059</c:v>
                </c:pt>
                <c:pt idx="45">
                  <c:v>2060</c:v>
                </c:pt>
                <c:pt idx="46">
                  <c:v>2061</c:v>
                </c:pt>
                <c:pt idx="47">
                  <c:v>2062</c:v>
                </c:pt>
                <c:pt idx="48">
                  <c:v>2063</c:v>
                </c:pt>
                <c:pt idx="49">
                  <c:v>2064</c:v>
                </c:pt>
                <c:pt idx="50">
                  <c:v>2065</c:v>
                </c:pt>
                <c:pt idx="51">
                  <c:v>2066</c:v>
                </c:pt>
                <c:pt idx="52">
                  <c:v>2067</c:v>
                </c:pt>
                <c:pt idx="53">
                  <c:v>2068</c:v>
                </c:pt>
                <c:pt idx="54">
                  <c:v>2069</c:v>
                </c:pt>
                <c:pt idx="55">
                  <c:v>2070</c:v>
                </c:pt>
                <c:pt idx="56">
                  <c:v>2071</c:v>
                </c:pt>
                <c:pt idx="57">
                  <c:v>2072</c:v>
                </c:pt>
                <c:pt idx="58">
                  <c:v>2073</c:v>
                </c:pt>
                <c:pt idx="59">
                  <c:v>2074</c:v>
                </c:pt>
                <c:pt idx="60">
                  <c:v>2075</c:v>
                </c:pt>
                <c:pt idx="61">
                  <c:v>2076</c:v>
                </c:pt>
                <c:pt idx="62">
                  <c:v>2077</c:v>
                </c:pt>
                <c:pt idx="63">
                  <c:v>2078</c:v>
                </c:pt>
                <c:pt idx="64">
                  <c:v>2079</c:v>
                </c:pt>
                <c:pt idx="65">
                  <c:v>2080</c:v>
                </c:pt>
                <c:pt idx="66">
                  <c:v>2081</c:v>
                </c:pt>
                <c:pt idx="67">
                  <c:v>2082</c:v>
                </c:pt>
                <c:pt idx="68">
                  <c:v>2083</c:v>
                </c:pt>
                <c:pt idx="69">
                  <c:v>2084</c:v>
                </c:pt>
                <c:pt idx="70">
                  <c:v>2085</c:v>
                </c:pt>
              </c:numCache>
            </c:numRef>
          </c:xVal>
          <c:yVal>
            <c:numRef>
              <c:f>CPI!$V$87:$V$157</c:f>
              <c:numCache>
                <c:formatCode>"$"#,##0.00</c:formatCode>
                <c:ptCount val="71"/>
                <c:pt idx="0">
                  <c:v>1000</c:v>
                </c:pt>
                <c:pt idx="1">
                  <c:v>987.54203002412419</c:v>
                </c:pt>
                <c:pt idx="2">
                  <c:v>966.94272193211498</c:v>
                </c:pt>
                <c:pt idx="3">
                  <c:v>944.56329236002716</c:v>
                </c:pt>
                <c:pt idx="4">
                  <c:v>927.60575904018071</c:v>
                </c:pt>
                <c:pt idx="5">
                  <c:v>911.24635719832963</c:v>
                </c:pt>
                <c:pt idx="6">
                  <c:v>895.45398905584341</c:v>
                </c:pt>
                <c:pt idx="7">
                  <c:v>880.19967587207782</c:v>
                </c:pt>
                <c:pt idx="8">
                  <c:v>865.45638047553598</c:v>
                </c:pt>
                <c:pt idx="9">
                  <c:v>851.19884733676452</c:v>
                </c:pt>
                <c:pt idx="10">
                  <c:v>837.40345819289269</c:v>
                </c:pt>
                <c:pt idx="11">
                  <c:v>824.04810148763045</c:v>
                </c:pt>
                <c:pt idx="12">
                  <c:v>811.11205410858679</c:v>
                </c:pt>
                <c:pt idx="13">
                  <c:v>798.57587409147425</c:v>
                </c:pt>
                <c:pt idx="14">
                  <c:v>786.42130312276436</c:v>
                </c:pt>
                <c:pt idx="15">
                  <c:v>774.63117781249377</c:v>
                </c:pt>
                <c:pt idx="16">
                  <c:v>763.18934883043983</c:v>
                </c:pt>
                <c:pt idx="17">
                  <c:v>752.08060710446239</c:v>
                </c:pt>
                <c:pt idx="18">
                  <c:v>741.29061637177711</c:v>
                </c:pt>
                <c:pt idx="19">
                  <c:v>730.80585145416842</c:v>
                </c:pt>
                <c:pt idx="20">
                  <c:v>720.61354169833692</c:v>
                </c:pt>
                <c:pt idx="21">
                  <c:v>710.70161908405828</c:v>
                </c:pt>
                <c:pt idx="22">
                  <c:v>701.05867055681949</c:v>
                </c:pt>
                <c:pt idx="23">
                  <c:v>691.67389418907192</c:v>
                </c:pt>
                <c:pt idx="24">
                  <c:v>682.53705881607607</c:v>
                </c:pt>
                <c:pt idx="25">
                  <c:v>673.63846682923781</c:v>
                </c:pt>
                <c:pt idx="26">
                  <c:v>664.96891984248361</c:v>
                </c:pt>
                <c:pt idx="27">
                  <c:v>656.51968697613756</c:v>
                </c:pt>
                <c:pt idx="28">
                  <c:v>648.28247552840799</c:v>
                </c:pt>
                <c:pt idx="29">
                  <c:v>640.24940382739032</c:v>
                </c:pt>
                <c:pt idx="30">
                  <c:v>632.41297607675915</c:v>
                </c:pt>
                <c:pt idx="31">
                  <c:v>624.76605902640483</c:v>
                </c:pt>
                <c:pt idx="32">
                  <c:v>617.30186031538994</c:v>
                </c:pt>
                <c:pt idx="33">
                  <c:v>610.0139083490244</c:v>
                </c:pt>
                <c:pt idx="34">
                  <c:v>602.89603358475085</c:v>
                </c:pt>
                <c:pt idx="35">
                  <c:v>595.94235111310024</c:v>
                </c:pt>
                <c:pt idx="36">
                  <c:v>589.14724443034788</c:v>
                </c:pt>
                <c:pt idx="37">
                  <c:v>582.50535030882861</c:v>
                </c:pt>
                <c:pt idx="38">
                  <c:v>576.01154467925016</c:v>
                </c:pt>
                <c:pt idx="39">
                  <c:v>569.66092944690604</c:v>
                </c:pt>
                <c:pt idx="40">
                  <c:v>563.44882017049633</c:v>
                </c:pt>
                <c:pt idx="41">
                  <c:v>557.37073453842197</c:v>
                </c:pt>
                <c:pt idx="42">
                  <c:v>551.42238158297585</c:v>
                </c:pt>
                <c:pt idx="43">
                  <c:v>545.59965157788986</c:v>
                </c:pt>
                <c:pt idx="44">
                  <c:v>539.89860656925191</c:v>
                </c:pt>
                <c:pt idx="45">
                  <c:v>534.31547149394714</c:v>
                </c:pt>
                <c:pt idx="46">
                  <c:v>528.84662584352793</c:v>
                </c:pt>
                <c:pt idx="47">
                  <c:v>523.48859583483147</c:v>
                </c:pt>
                <c:pt idx="48">
                  <c:v>518.23804705176497</c:v>
                </c:pt>
                <c:pt idx="49">
                  <c:v>513.09177752550772</c:v>
                </c:pt>
                <c:pt idx="50">
                  <c:v>508.04671122295429</c:v>
                </c:pt>
                <c:pt idx="51">
                  <c:v>503.09989191557349</c:v>
                </c:pt>
                <c:pt idx="52">
                  <c:v>498.24847740300402</c:v>
                </c:pt>
                <c:pt idx="53">
                  <c:v>493.48973406767101</c:v>
                </c:pt>
                <c:pt idx="54">
                  <c:v>488.82103173850237</c:v>
                </c:pt>
                <c:pt idx="55">
                  <c:v>484.23983884346478</c:v>
                </c:pt>
                <c:pt idx="56">
                  <c:v>479.74371783215105</c:v>
                </c:pt>
                <c:pt idx="57">
                  <c:v>475.33032085102491</c:v>
                </c:pt>
                <c:pt idx="58">
                  <c:v>470.99738565520369</c:v>
                </c:pt>
                <c:pt idx="59">
                  <c:v>466.74273174182196</c:v>
                </c:pt>
                <c:pt idx="60">
                  <c:v>462.56425669108779</c:v>
                </c:pt>
                <c:pt idx="61">
                  <c:v>458.4599327021354</c:v>
                </c:pt>
                <c:pt idx="62">
                  <c:v>454.4278033116783</c:v>
                </c:pt>
                <c:pt idx="63">
                  <c:v>450.46598028430924</c:v>
                </c:pt>
                <c:pt idx="64">
                  <c:v>446.57264066406049</c:v>
                </c:pt>
                <c:pt idx="65">
                  <c:v>442.7460239775541</c:v>
                </c:pt>
                <c:pt idx="66">
                  <c:v>438.98442957972384</c:v>
                </c:pt>
                <c:pt idx="67">
                  <c:v>435.28621413370303</c:v>
                </c:pt>
                <c:pt idx="68">
                  <c:v>431.64978921703249</c:v>
                </c:pt>
                <c:pt idx="69">
                  <c:v>428.07361904686229</c:v>
                </c:pt>
                <c:pt idx="70">
                  <c:v>424.55621831730167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C1-42F0-9A2C-66579F9DA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363032"/>
        <c:axId val="441362640"/>
      </c:scatterChart>
      <c:valAx>
        <c:axId val="441361856"/>
        <c:scaling>
          <c:orientation val="minMax"/>
          <c:max val="2085"/>
          <c:min val="20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>
                    <a:solidFill>
                      <a:schemeClr val="tx1"/>
                    </a:solidFill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362248"/>
        <c:crosses val="autoZero"/>
        <c:crossBetween val="midCat"/>
        <c:majorUnit val="10"/>
        <c:minorUnit val="5"/>
      </c:valAx>
      <c:valAx>
        <c:axId val="44136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>
                    <a:solidFill>
                      <a:schemeClr val="tx1"/>
                    </a:solidFill>
                  </a:rPr>
                  <a:t>Index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361856"/>
        <c:crosses val="autoZero"/>
        <c:crossBetween val="midCat"/>
      </c:valAx>
      <c:valAx>
        <c:axId val="4413626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>
                    <a:solidFill>
                      <a:schemeClr val="tx1"/>
                    </a:solidFill>
                  </a:rPr>
                  <a:t>Dollars Per AF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363032"/>
        <c:crosses val="max"/>
        <c:crossBetween val="midCat"/>
        <c:majorUnit val="200"/>
        <c:minorUnit val="50"/>
      </c:valAx>
      <c:valAx>
        <c:axId val="441363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362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3200" b="1" i="0" baseline="0">
                <a:solidFill>
                  <a:schemeClr val="tx1"/>
                </a:solidFill>
              </a:rPr>
              <a:t>Whole District Investment - </a:t>
            </a:r>
            <a:r>
              <a:rPr lang="en-US" sz="3200" b="1" i="0" u="sng" baseline="0">
                <a:solidFill>
                  <a:schemeClr val="tx1"/>
                </a:solidFill>
              </a:rPr>
              <a:t>Annual</a:t>
            </a:r>
            <a:r>
              <a:rPr lang="en-US" sz="3200" b="1" i="0" baseline="0">
                <a:solidFill>
                  <a:schemeClr val="tx1"/>
                </a:solidFill>
              </a:rPr>
              <a:t> Debt Service 2032-2061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v>CI W/HP (2018)</c:v>
          </c:tx>
          <c:spPr>
            <a:ln w="317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xVal>
            <c:numRef>
              <c:f>'Montague Model'!$B$10:$G$10</c:f>
              <c:numCache>
                <c:formatCode>General</c:formatCode>
                <c:ptCount val="6"/>
                <c:pt idx="0">
                  <c:v>1000</c:v>
                </c:pt>
                <c:pt idx="1">
                  <c:v>2000</c:v>
                </c:pt>
                <c:pt idx="2">
                  <c:v>2500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</c:numCache>
              <c:extLst xmlns:c15="http://schemas.microsoft.com/office/drawing/2012/chart"/>
            </c:numRef>
          </c:xVal>
          <c:yVal>
            <c:numRef>
              <c:f>'Montague Model'!$B$16:$H$16</c:f>
              <c:numCache>
                <c:formatCode>"$"#,##0</c:formatCode>
                <c:ptCount val="7"/>
                <c:pt idx="0">
                  <c:v>892000</c:v>
                </c:pt>
                <c:pt idx="1">
                  <c:v>1784000</c:v>
                </c:pt>
                <c:pt idx="2">
                  <c:v>2230000</c:v>
                </c:pt>
                <c:pt idx="3">
                  <c:v>2676000</c:v>
                </c:pt>
                <c:pt idx="4">
                  <c:v>3568000</c:v>
                </c:pt>
                <c:pt idx="5">
                  <c:v>4460000</c:v>
                </c:pt>
                <c:pt idx="6">
                  <c:v>8920000</c:v>
                </c:pt>
              </c:numCache>
              <c:extLst xmlns:c15="http://schemas.microsoft.com/office/drawing/2012/chart"/>
            </c:numRef>
          </c:yVal>
          <c:smooth val="0"/>
          <c:extLst>
            <c:ext xmlns:c16="http://schemas.microsoft.com/office/drawing/2014/chart" uri="{C3380CC4-5D6E-409C-BE32-E72D297353CC}">
              <c16:uniqueId val="{00000000-8672-4247-8775-123DDC3E741A}"/>
            </c:ext>
          </c:extLst>
        </c:ser>
        <c:ser>
          <c:idx val="4"/>
          <c:order val="4"/>
          <c:tx>
            <c:v>Const Pymt HP (2018)</c:v>
          </c:tx>
          <c:spPr>
            <a:ln w="31750" cap="rnd">
              <a:solidFill>
                <a:srgbClr val="FF33C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FF33CC"/>
              </a:solidFill>
              <a:ln w="9525">
                <a:solidFill>
                  <a:srgbClr val="FF33CC"/>
                </a:solidFill>
              </a:ln>
              <a:effectLst/>
            </c:spPr>
          </c:marker>
          <c:xVal>
            <c:numRef>
              <c:f>'Montague Model'!$B$44:$G$44</c:f>
              <c:numCache>
                <c:formatCode>General</c:formatCode>
                <c:ptCount val="6"/>
                <c:pt idx="0">
                  <c:v>1000</c:v>
                </c:pt>
                <c:pt idx="1">
                  <c:v>2000</c:v>
                </c:pt>
                <c:pt idx="2">
                  <c:v>2500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</c:numCache>
              <c:extLst xmlns:c15="http://schemas.microsoft.com/office/drawing/2012/chart"/>
            </c:numRef>
          </c:xVal>
          <c:yVal>
            <c:numRef>
              <c:f>'Montague Model'!$B$50:$G$50</c:f>
              <c:numCache>
                <c:formatCode>"$"#,##0</c:formatCode>
                <c:ptCount val="6"/>
                <c:pt idx="0">
                  <c:v>609000</c:v>
                </c:pt>
                <c:pt idx="1">
                  <c:v>1218000</c:v>
                </c:pt>
                <c:pt idx="2">
                  <c:v>1522500</c:v>
                </c:pt>
                <c:pt idx="3">
                  <c:v>1827000</c:v>
                </c:pt>
                <c:pt idx="4">
                  <c:v>2436000</c:v>
                </c:pt>
                <c:pt idx="5">
                  <c:v>3045000</c:v>
                </c:pt>
              </c:numCache>
              <c:extLst xmlns:c15="http://schemas.microsoft.com/office/drawing/2012/chart"/>
            </c:numRef>
          </c:yVal>
          <c:smooth val="0"/>
          <c:extLst>
            <c:ext xmlns:c16="http://schemas.microsoft.com/office/drawing/2014/chart" uri="{C3380CC4-5D6E-409C-BE32-E72D297353CC}">
              <c16:uniqueId val="{00000001-8672-4247-8775-123DDC3E741A}"/>
            </c:ext>
          </c:extLst>
        </c:ser>
        <c:ser>
          <c:idx val="6"/>
          <c:order val="6"/>
          <c:tx>
            <c:v>Const Pymt w/o HP (2018)</c:v>
          </c:tx>
          <c:spPr>
            <a:ln w="19050" cap="rnd">
              <a:solidFill>
                <a:schemeClr val="tx2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'Montague Model'!$B$54:$G$54</c:f>
              <c:numCache>
                <c:formatCode>General</c:formatCode>
                <c:ptCount val="6"/>
                <c:pt idx="0">
                  <c:v>1000</c:v>
                </c:pt>
                <c:pt idx="1">
                  <c:v>2000</c:v>
                </c:pt>
                <c:pt idx="2">
                  <c:v>2500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</c:numCache>
              <c:extLst xmlns:c15="http://schemas.microsoft.com/office/drawing/2012/chart"/>
            </c:numRef>
          </c:xVal>
          <c:yVal>
            <c:numRef>
              <c:f>'Montague Model'!$B$60:$G$60</c:f>
              <c:numCache>
                <c:formatCode>"$"#,##0</c:formatCode>
                <c:ptCount val="6"/>
                <c:pt idx="0">
                  <c:v>657000</c:v>
                </c:pt>
                <c:pt idx="1">
                  <c:v>1314000</c:v>
                </c:pt>
                <c:pt idx="2">
                  <c:v>1642500</c:v>
                </c:pt>
                <c:pt idx="3">
                  <c:v>1971000</c:v>
                </c:pt>
                <c:pt idx="4">
                  <c:v>2628000</c:v>
                </c:pt>
                <c:pt idx="5">
                  <c:v>3285000</c:v>
                </c:pt>
              </c:numCache>
              <c:extLst xmlns:c15="http://schemas.microsoft.com/office/drawing/2012/chart"/>
            </c:numRef>
          </c:yVal>
          <c:smooth val="0"/>
          <c:extLst>
            <c:ext xmlns:c16="http://schemas.microsoft.com/office/drawing/2014/chart" uri="{C3380CC4-5D6E-409C-BE32-E72D297353CC}">
              <c16:uniqueId val="{00000002-8672-4247-8775-123DDC3E7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363816"/>
        <c:axId val="440942104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CI W/HP (2032)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'Montague Model'!$B$10:$G$10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1000</c:v>
                      </c:pt>
                      <c:pt idx="1">
                        <c:v>2000</c:v>
                      </c:pt>
                      <c:pt idx="2">
                        <c:v>2500</c:v>
                      </c:pt>
                      <c:pt idx="3">
                        <c:v>3000</c:v>
                      </c:pt>
                      <c:pt idx="4">
                        <c:v>4000</c:v>
                      </c:pt>
                      <c:pt idx="5">
                        <c:v>5000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'Montague Model'!$B$17:$G$17</c15:sqref>
                        </c15:formulaRef>
                      </c:ext>
                    </c:extLst>
                    <c:numCache>
                      <c:formatCode>"$"#,##0</c:formatCode>
                      <c:ptCount val="6"/>
                      <c:pt idx="0">
                        <c:v>1345000</c:v>
                      </c:pt>
                      <c:pt idx="1">
                        <c:v>2690000</c:v>
                      </c:pt>
                      <c:pt idx="2">
                        <c:v>3362500</c:v>
                      </c:pt>
                      <c:pt idx="3">
                        <c:v>4035000</c:v>
                      </c:pt>
                      <c:pt idx="4">
                        <c:v>5380000</c:v>
                      </c:pt>
                      <c:pt idx="5">
                        <c:v>6725000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8672-4247-8775-123DDC3E741A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Capitalized Interest w/o Hydropower</c:v>
                </c:tx>
                <c:spPr>
                  <a:ln w="19050" cap="rnd">
                    <a:solidFill>
                      <a:schemeClr val="accent6">
                        <a:lumMod val="75000"/>
                      </a:schemeClr>
                    </a:solidFill>
                    <a:prstDash val="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5000"/>
                      </a:schemeClr>
                    </a:solidFill>
                    <a:ln w="9525">
                      <a:solidFill>
                        <a:schemeClr val="accent6">
                          <a:lumMod val="75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Model'!$B$20:$G$20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1000</c:v>
                      </c:pt>
                      <c:pt idx="1">
                        <c:v>2000</c:v>
                      </c:pt>
                      <c:pt idx="2">
                        <c:v>2500</c:v>
                      </c:pt>
                      <c:pt idx="3">
                        <c:v>3000</c:v>
                      </c:pt>
                      <c:pt idx="4">
                        <c:v>4000</c:v>
                      </c:pt>
                      <c:pt idx="5">
                        <c:v>5000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Model'!$B$26:$H$26</c15:sqref>
                        </c15:formulaRef>
                      </c:ext>
                    </c:extLst>
                    <c:numCache>
                      <c:formatCode>"$"#,##0</c:formatCode>
                      <c:ptCount val="7"/>
                      <c:pt idx="0">
                        <c:v>962000</c:v>
                      </c:pt>
                      <c:pt idx="1">
                        <c:v>1924000</c:v>
                      </c:pt>
                      <c:pt idx="2">
                        <c:v>2405000</c:v>
                      </c:pt>
                      <c:pt idx="3">
                        <c:v>2886000</c:v>
                      </c:pt>
                      <c:pt idx="4">
                        <c:v>3848000</c:v>
                      </c:pt>
                      <c:pt idx="5">
                        <c:v>4810000</c:v>
                      </c:pt>
                      <c:pt idx="6">
                        <c:v>9620000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672-4247-8775-123DDC3E741A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CI W/O HP (2032)</c:v>
                </c:tx>
                <c:spPr>
                  <a:ln w="19050" cap="rnd">
                    <a:solidFill>
                      <a:schemeClr val="accent4"/>
                    </a:solidFill>
                    <a:prstDash val="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Model'!$B$20:$G$20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1000</c:v>
                      </c:pt>
                      <c:pt idx="1">
                        <c:v>2000</c:v>
                      </c:pt>
                      <c:pt idx="2">
                        <c:v>2500</c:v>
                      </c:pt>
                      <c:pt idx="3">
                        <c:v>3000</c:v>
                      </c:pt>
                      <c:pt idx="4">
                        <c:v>4000</c:v>
                      </c:pt>
                      <c:pt idx="5">
                        <c:v>5000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Model'!$B$27:$H$27</c15:sqref>
                        </c15:formulaRef>
                      </c:ext>
                    </c:extLst>
                    <c:numCache>
                      <c:formatCode>"$"#,##0</c:formatCode>
                      <c:ptCount val="7"/>
                      <c:pt idx="0">
                        <c:v>1434000</c:v>
                      </c:pt>
                      <c:pt idx="1">
                        <c:v>2868000</c:v>
                      </c:pt>
                      <c:pt idx="2">
                        <c:v>3585000</c:v>
                      </c:pt>
                      <c:pt idx="3">
                        <c:v>4302000</c:v>
                      </c:pt>
                      <c:pt idx="4">
                        <c:v>5736000</c:v>
                      </c:pt>
                      <c:pt idx="5">
                        <c:v>7170000</c:v>
                      </c:pt>
                      <c:pt idx="6">
                        <c:v>14340000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672-4247-8775-123DDC3E741A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Const Pymt HP (2032)</c:v>
                </c:tx>
                <c:spPr>
                  <a:ln w="19050" cap="rnd">
                    <a:solidFill>
                      <a:srgbClr val="FF0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FF0000"/>
                    </a:solidFill>
                    <a:ln w="9525">
                      <a:solidFill>
                        <a:srgbClr val="FF0000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Model'!$B$10:$G$10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1000</c:v>
                      </c:pt>
                      <c:pt idx="1">
                        <c:v>2000</c:v>
                      </c:pt>
                      <c:pt idx="2">
                        <c:v>2500</c:v>
                      </c:pt>
                      <c:pt idx="3">
                        <c:v>3000</c:v>
                      </c:pt>
                      <c:pt idx="4">
                        <c:v>4000</c:v>
                      </c:pt>
                      <c:pt idx="5">
                        <c:v>5000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Model'!$B$51:$H$51</c15:sqref>
                        </c15:formulaRef>
                      </c:ext>
                    </c:extLst>
                    <c:numCache>
                      <c:formatCode>"$"#,##0</c:formatCode>
                      <c:ptCount val="7"/>
                      <c:pt idx="0">
                        <c:v>907000</c:v>
                      </c:pt>
                      <c:pt idx="1">
                        <c:v>1814000</c:v>
                      </c:pt>
                      <c:pt idx="2">
                        <c:v>2267500</c:v>
                      </c:pt>
                      <c:pt idx="3">
                        <c:v>2721000</c:v>
                      </c:pt>
                      <c:pt idx="4">
                        <c:v>3628000</c:v>
                      </c:pt>
                      <c:pt idx="5">
                        <c:v>4535000</c:v>
                      </c:pt>
                      <c:pt idx="6">
                        <c:v>9070000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672-4247-8775-123DDC3E741A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Const Pymt W/O HP (2032)"</c:v>
                </c:tx>
                <c:spPr>
                  <a:ln w="19050" cap="rnd">
                    <a:solidFill>
                      <a:srgbClr val="006600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6600"/>
                    </a:solidFill>
                    <a:ln w="9525">
                      <a:solidFill>
                        <a:srgbClr val="006600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Model'!$B$54:$G$54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1000</c:v>
                      </c:pt>
                      <c:pt idx="1">
                        <c:v>2000</c:v>
                      </c:pt>
                      <c:pt idx="2">
                        <c:v>2500</c:v>
                      </c:pt>
                      <c:pt idx="3">
                        <c:v>3000</c:v>
                      </c:pt>
                      <c:pt idx="4">
                        <c:v>4000</c:v>
                      </c:pt>
                      <c:pt idx="5">
                        <c:v>5000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Model'!$B$61:$G$61</c15:sqref>
                        </c15:formulaRef>
                      </c:ext>
                    </c:extLst>
                    <c:numCache>
                      <c:formatCode>"$"#,##0</c:formatCode>
                      <c:ptCount val="6"/>
                      <c:pt idx="0">
                        <c:v>973000</c:v>
                      </c:pt>
                      <c:pt idx="1">
                        <c:v>1946000</c:v>
                      </c:pt>
                      <c:pt idx="2">
                        <c:v>2432500</c:v>
                      </c:pt>
                      <c:pt idx="3">
                        <c:v>2919000</c:v>
                      </c:pt>
                      <c:pt idx="4">
                        <c:v>3892000</c:v>
                      </c:pt>
                      <c:pt idx="5">
                        <c:v>4865000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672-4247-8775-123DDC3E741A}"/>
                  </c:ext>
                </c:extLst>
              </c15:ser>
            </c15:filteredScatterSeries>
          </c:ext>
        </c:extLst>
      </c:scatterChart>
      <c:valAx>
        <c:axId val="441363816"/>
        <c:scaling>
          <c:orientation val="minMax"/>
          <c:max val="6000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3200" b="1" i="0" baseline="0">
                    <a:solidFill>
                      <a:schemeClr val="tx1"/>
                    </a:solidFill>
                  </a:rPr>
                  <a:t>Average Annual Yield (Acre Feet)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942104"/>
        <c:crosses val="autoZero"/>
        <c:crossBetween val="midCat"/>
        <c:majorUnit val="1000"/>
        <c:minorUnit val="500"/>
      </c:valAx>
      <c:valAx>
        <c:axId val="44094210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3200" b="1" i="0" baseline="0">
                    <a:solidFill>
                      <a:schemeClr val="tx1"/>
                    </a:solidFill>
                  </a:rPr>
                  <a:t>Dollars per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#" sourceLinked="0"/>
        <c:majorTickMark val="cross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363816"/>
        <c:crosses val="autoZero"/>
        <c:crossBetween val="midCat"/>
        <c:majorUnit val="1000000"/>
        <c:minorUnit val="5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3200" b="1" i="0" u="sng" baseline="0">
                <a:solidFill>
                  <a:schemeClr val="tx1"/>
                </a:solidFill>
              </a:rPr>
              <a:t>Annual</a:t>
            </a:r>
            <a:r>
              <a:rPr lang="en-US" sz="3200" b="1" i="0" baseline="0">
                <a:solidFill>
                  <a:schemeClr val="tx1"/>
                </a:solidFill>
              </a:rPr>
              <a:t> Debt Service Per Acre 2032-2061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2"/>
          <c:tx>
            <c:v>Cap Intrst W/HP (2018)</c:v>
          </c:tx>
          <c:spPr>
            <a:ln w="31750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'Montague Model'!$B$30:$G$30</c:f>
              <c:numCache>
                <c:formatCode>General</c:formatCode>
                <c:ptCount val="6"/>
                <c:pt idx="0">
                  <c:v>1000</c:v>
                </c:pt>
                <c:pt idx="1">
                  <c:v>2000</c:v>
                </c:pt>
                <c:pt idx="2">
                  <c:v>2500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</c:numCache>
              <c:extLst xmlns:c15="http://schemas.microsoft.com/office/drawing/2012/chart"/>
            </c:numRef>
          </c:xVal>
          <c:yVal>
            <c:numRef>
              <c:f>'Montague Model'!$B$33:$G$33</c:f>
              <c:numCache>
                <c:formatCode>"$"#,##0.00</c:formatCode>
                <c:ptCount val="6"/>
                <c:pt idx="0">
                  <c:v>18.583333333333332</c:v>
                </c:pt>
                <c:pt idx="1">
                  <c:v>37.166666666666664</c:v>
                </c:pt>
                <c:pt idx="2">
                  <c:v>46.458333333333336</c:v>
                </c:pt>
                <c:pt idx="3">
                  <c:v>55.75</c:v>
                </c:pt>
                <c:pt idx="4">
                  <c:v>74.333333333333329</c:v>
                </c:pt>
                <c:pt idx="5">
                  <c:v>92.916666666666671</c:v>
                </c:pt>
              </c:numCache>
              <c:extLst xmlns:c15="http://schemas.microsoft.com/office/drawing/2012/chart"/>
            </c:numRef>
          </c:yVal>
          <c:smooth val="0"/>
          <c:extLst>
            <c:ext xmlns:c16="http://schemas.microsoft.com/office/drawing/2014/chart" uri="{C3380CC4-5D6E-409C-BE32-E72D297353CC}">
              <c16:uniqueId val="{00000000-352D-47A8-B5FC-46B61A8671A9}"/>
            </c:ext>
          </c:extLst>
        </c:ser>
        <c:ser>
          <c:idx val="6"/>
          <c:order val="6"/>
          <c:tx>
            <c:v>Const Pymt HP (2018)</c:v>
          </c:tx>
          <c:spPr>
            <a:ln w="317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'Montague Model'!$B$64:$G$64</c:f>
              <c:numCache>
                <c:formatCode>General</c:formatCode>
                <c:ptCount val="6"/>
                <c:pt idx="0">
                  <c:v>1000</c:v>
                </c:pt>
                <c:pt idx="1">
                  <c:v>2000</c:v>
                </c:pt>
                <c:pt idx="2">
                  <c:v>2500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</c:numCache>
              <c:extLst xmlns:c15="http://schemas.microsoft.com/office/drawing/2012/chart"/>
            </c:numRef>
          </c:xVal>
          <c:yVal>
            <c:numRef>
              <c:f>'Montague Model'!$B$67:$G$67</c:f>
              <c:numCache>
                <c:formatCode>"$"#,##0.00</c:formatCode>
                <c:ptCount val="6"/>
                <c:pt idx="0">
                  <c:v>12.6875</c:v>
                </c:pt>
                <c:pt idx="1">
                  <c:v>25.375</c:v>
                </c:pt>
                <c:pt idx="2">
                  <c:v>31.71875</c:v>
                </c:pt>
                <c:pt idx="3">
                  <c:v>38.0625</c:v>
                </c:pt>
                <c:pt idx="4">
                  <c:v>50.75</c:v>
                </c:pt>
                <c:pt idx="5">
                  <c:v>63.4375</c:v>
                </c:pt>
              </c:numCache>
              <c:extLst xmlns:c15="http://schemas.microsoft.com/office/drawing/2012/chart"/>
            </c:numRef>
          </c:yVal>
          <c:smooth val="0"/>
          <c:extLst>
            <c:ext xmlns:c16="http://schemas.microsoft.com/office/drawing/2014/chart" uri="{C3380CC4-5D6E-409C-BE32-E72D297353CC}">
              <c16:uniqueId val="{00000001-352D-47A8-B5FC-46B61A867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942888"/>
        <c:axId val="440943280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Capitalized Interest w/o Hydropower</c:v>
                </c:tx>
                <c:spPr>
                  <a:ln w="19050" cap="rnd">
                    <a:solidFill>
                      <a:schemeClr val="accent6">
                        <a:lumMod val="75000"/>
                      </a:schemeClr>
                    </a:solidFill>
                    <a:prstDash val="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5000"/>
                      </a:schemeClr>
                    </a:solidFill>
                    <a:ln w="9525">
                      <a:solidFill>
                        <a:schemeClr val="accent6">
                          <a:lumMod val="75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'Montague Model'!$B$30:$G$30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1000</c:v>
                      </c:pt>
                      <c:pt idx="1">
                        <c:v>2000</c:v>
                      </c:pt>
                      <c:pt idx="2">
                        <c:v>2500</c:v>
                      </c:pt>
                      <c:pt idx="3">
                        <c:v>3000</c:v>
                      </c:pt>
                      <c:pt idx="4">
                        <c:v>4000</c:v>
                      </c:pt>
                      <c:pt idx="5">
                        <c:v>5000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'Montague Model'!$B$31:$G$31</c15:sqref>
                        </c15:formulaRef>
                      </c:ext>
                    </c:extLst>
                    <c:numCache>
                      <c:formatCode>"$"#,##0.00</c:formatCode>
                      <c:ptCount val="6"/>
                      <c:pt idx="0">
                        <c:v>20.041666666666668</c:v>
                      </c:pt>
                      <c:pt idx="1">
                        <c:v>40.083333333333336</c:v>
                      </c:pt>
                      <c:pt idx="2">
                        <c:v>50.104166666666664</c:v>
                      </c:pt>
                      <c:pt idx="3">
                        <c:v>60.125</c:v>
                      </c:pt>
                      <c:pt idx="4">
                        <c:v>80.166666666666671</c:v>
                      </c:pt>
                      <c:pt idx="5">
                        <c:v>100.20833333333333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352D-47A8-B5FC-46B61A8671A9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v>CI W/O HP (2032)</c:v>
                </c:tx>
                <c:spPr>
                  <a:ln w="19050" cap="rnd">
                    <a:solidFill>
                      <a:srgbClr val="FF0000"/>
                    </a:solidFill>
                    <a:prstDash val="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FF0000"/>
                    </a:solidFill>
                    <a:ln w="9525">
                      <a:solidFill>
                        <a:srgbClr val="FF0000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Model'!$B$30:$G$30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1000</c:v>
                      </c:pt>
                      <c:pt idx="1">
                        <c:v>2000</c:v>
                      </c:pt>
                      <c:pt idx="2">
                        <c:v>2500</c:v>
                      </c:pt>
                      <c:pt idx="3">
                        <c:v>3000</c:v>
                      </c:pt>
                      <c:pt idx="4">
                        <c:v>4000</c:v>
                      </c:pt>
                      <c:pt idx="5">
                        <c:v>5000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Model'!$B$32:$G$32</c15:sqref>
                        </c15:formulaRef>
                      </c:ext>
                    </c:extLst>
                    <c:numCache>
                      <c:formatCode>"$"#,##0.00</c:formatCode>
                      <c:ptCount val="6"/>
                      <c:pt idx="0">
                        <c:v>29.875</c:v>
                      </c:pt>
                      <c:pt idx="1">
                        <c:v>59.75</c:v>
                      </c:pt>
                      <c:pt idx="2">
                        <c:v>74.6875</c:v>
                      </c:pt>
                      <c:pt idx="3">
                        <c:v>89.625</c:v>
                      </c:pt>
                      <c:pt idx="4">
                        <c:v>119.5</c:v>
                      </c:pt>
                      <c:pt idx="5">
                        <c:v>149.375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52D-47A8-B5FC-46B61A8671A9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CI W/HP (2032)</c:v>
                </c:tx>
                <c:spPr>
                  <a:ln w="19050" cap="rnd">
                    <a:solidFill>
                      <a:srgbClr val="FF0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FF0000"/>
                    </a:solidFill>
                    <a:ln w="9525">
                      <a:solidFill>
                        <a:srgbClr val="FF0000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Model'!$B$30:$G$30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1000</c:v>
                      </c:pt>
                      <c:pt idx="1">
                        <c:v>2000</c:v>
                      </c:pt>
                      <c:pt idx="2">
                        <c:v>2500</c:v>
                      </c:pt>
                      <c:pt idx="3">
                        <c:v>3000</c:v>
                      </c:pt>
                      <c:pt idx="4">
                        <c:v>4000</c:v>
                      </c:pt>
                      <c:pt idx="5">
                        <c:v>5000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Model'!$B$34:$G$34</c15:sqref>
                        </c15:formulaRef>
                      </c:ext>
                    </c:extLst>
                    <c:numCache>
                      <c:formatCode>"$"#,##0.00</c:formatCode>
                      <c:ptCount val="6"/>
                      <c:pt idx="0">
                        <c:v>28.020833333333332</c:v>
                      </c:pt>
                      <c:pt idx="1">
                        <c:v>56.041666666666664</c:v>
                      </c:pt>
                      <c:pt idx="2">
                        <c:v>70.052083333333329</c:v>
                      </c:pt>
                      <c:pt idx="3">
                        <c:v>84.0625</c:v>
                      </c:pt>
                      <c:pt idx="4">
                        <c:v>112.08333333333333</c:v>
                      </c:pt>
                      <c:pt idx="5">
                        <c:v>140.10416666666666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52D-47A8-B5FC-46B61A8671A9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Pay Interest during Construction w/o Hydropower</c:v>
                </c:tx>
                <c:spPr>
                  <a:ln w="19050" cap="rnd">
                    <a:solidFill>
                      <a:schemeClr val="tx2">
                        <a:lumMod val="60000"/>
                        <a:lumOff val="40000"/>
                      </a:schemeClr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tx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Model'!$B$64:$G$64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1000</c:v>
                      </c:pt>
                      <c:pt idx="1">
                        <c:v>2000</c:v>
                      </c:pt>
                      <c:pt idx="2">
                        <c:v>2500</c:v>
                      </c:pt>
                      <c:pt idx="3">
                        <c:v>3000</c:v>
                      </c:pt>
                      <c:pt idx="4">
                        <c:v>4000</c:v>
                      </c:pt>
                      <c:pt idx="5">
                        <c:v>5000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Model'!$B$65:$G$65</c15:sqref>
                        </c15:formulaRef>
                      </c:ext>
                    </c:extLst>
                    <c:numCache>
                      <c:formatCode>"$"#,##0.00</c:formatCode>
                      <c:ptCount val="6"/>
                      <c:pt idx="0">
                        <c:v>13.6875</c:v>
                      </c:pt>
                      <c:pt idx="1">
                        <c:v>27.375</c:v>
                      </c:pt>
                      <c:pt idx="2">
                        <c:v>34.21875</c:v>
                      </c:pt>
                      <c:pt idx="3">
                        <c:v>41.0625</c:v>
                      </c:pt>
                      <c:pt idx="4">
                        <c:v>54.75</c:v>
                      </c:pt>
                      <c:pt idx="5">
                        <c:v>68.4375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52D-47A8-B5FC-46B61A8671A9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IP W/O HP (2032)</c:v>
                </c:tx>
                <c:spPr>
                  <a:ln w="19050" cap="rnd">
                    <a:solidFill>
                      <a:srgbClr val="00CC00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CC00"/>
                    </a:solidFill>
                    <a:ln w="9525">
                      <a:solidFill>
                        <a:srgbClr val="00CC00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Model'!$B$64:$G$64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1000</c:v>
                      </c:pt>
                      <c:pt idx="1">
                        <c:v>2000</c:v>
                      </c:pt>
                      <c:pt idx="2">
                        <c:v>2500</c:v>
                      </c:pt>
                      <c:pt idx="3">
                        <c:v>3000</c:v>
                      </c:pt>
                      <c:pt idx="4">
                        <c:v>4000</c:v>
                      </c:pt>
                      <c:pt idx="5">
                        <c:v>5000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Model'!$B$66:$G$66</c15:sqref>
                        </c15:formulaRef>
                      </c:ext>
                    </c:extLst>
                    <c:numCache>
                      <c:formatCode>"$"#,##0.00</c:formatCode>
                      <c:ptCount val="6"/>
                      <c:pt idx="0">
                        <c:v>20.270833333333332</c:v>
                      </c:pt>
                      <c:pt idx="1">
                        <c:v>40.541666666666664</c:v>
                      </c:pt>
                      <c:pt idx="2">
                        <c:v>50.677083333333336</c:v>
                      </c:pt>
                      <c:pt idx="3">
                        <c:v>60.8125</c:v>
                      </c:pt>
                      <c:pt idx="4">
                        <c:v>81.083333333333329</c:v>
                      </c:pt>
                      <c:pt idx="5">
                        <c:v>101.35416666666667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52D-47A8-B5FC-46B61A8671A9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IP W/HP (2032)</c:v>
                </c:tx>
                <c:spPr>
                  <a:ln w="19050" cap="rnd">
                    <a:solidFill>
                      <a:srgbClr val="00CC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CC00"/>
                    </a:solidFill>
                    <a:ln w="9525">
                      <a:solidFill>
                        <a:srgbClr val="00CC00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Model'!$B$64:$G$64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1000</c:v>
                      </c:pt>
                      <c:pt idx="1">
                        <c:v>2000</c:v>
                      </c:pt>
                      <c:pt idx="2">
                        <c:v>2500</c:v>
                      </c:pt>
                      <c:pt idx="3">
                        <c:v>3000</c:v>
                      </c:pt>
                      <c:pt idx="4">
                        <c:v>4000</c:v>
                      </c:pt>
                      <c:pt idx="5">
                        <c:v>5000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'Montague Model'!$B$68:$G$68</c15:sqref>
                        </c15:formulaRef>
                      </c:ext>
                    </c:extLst>
                    <c:numCache>
                      <c:formatCode>"$"#,##0.00</c:formatCode>
                      <c:ptCount val="6"/>
                      <c:pt idx="0">
                        <c:v>18.895833333333332</c:v>
                      </c:pt>
                      <c:pt idx="1">
                        <c:v>37.791666666666664</c:v>
                      </c:pt>
                      <c:pt idx="2">
                        <c:v>47.239583333333336</c:v>
                      </c:pt>
                      <c:pt idx="3">
                        <c:v>56.6875</c:v>
                      </c:pt>
                      <c:pt idx="4">
                        <c:v>75.583333333333329</c:v>
                      </c:pt>
                      <c:pt idx="5">
                        <c:v>94.479166666666671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52D-47A8-B5FC-46B61A8671A9}"/>
                  </c:ext>
                </c:extLst>
              </c15:ser>
            </c15:filteredScatterSeries>
          </c:ext>
        </c:extLst>
      </c:scatterChart>
      <c:valAx>
        <c:axId val="440942888"/>
        <c:scaling>
          <c:orientation val="minMax"/>
          <c:max val="5000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3200" b="1" i="0" baseline="0">
                    <a:solidFill>
                      <a:schemeClr val="tx1"/>
                    </a:solidFill>
                  </a:rPr>
                  <a:t>Average Annual Yield (Acre Feet)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943280"/>
        <c:crosses val="autoZero"/>
        <c:crossBetween val="midCat"/>
        <c:minorUnit val="500"/>
      </c:valAx>
      <c:valAx>
        <c:axId val="440943280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3200" b="1" i="0" baseline="0">
                    <a:solidFill>
                      <a:schemeClr val="tx1"/>
                    </a:solidFill>
                  </a:rPr>
                  <a:t>Dollars Per Acre Land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cross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942888"/>
        <c:crosses val="autoZero"/>
        <c:crossBetween val="midCat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</a:rPr>
              <a:t>Total Per Acre Debt @ end of Phase 2</a:t>
            </a:r>
          </a:p>
        </c:rich>
      </c:tx>
      <c:layout>
        <c:manualLayout>
          <c:xMode val="edge"/>
          <c:yMode val="edge"/>
          <c:x val="0.34097278300638817"/>
          <c:y val="8.60214908100091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'Montague Model'!$A$39</c:f>
              <c:strCache>
                <c:ptCount val="1"/>
                <c:pt idx="0">
                  <c:v>Full Subscribed Per Acre Debt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'Montague Model'!$B$38:$G$38</c:f>
              <c:numCache>
                <c:formatCode>General</c:formatCode>
                <c:ptCount val="6"/>
                <c:pt idx="0">
                  <c:v>1000</c:v>
                </c:pt>
                <c:pt idx="1">
                  <c:v>2000</c:v>
                </c:pt>
                <c:pt idx="2">
                  <c:v>2500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</c:numCache>
            </c:numRef>
          </c:xVal>
          <c:yVal>
            <c:numRef>
              <c:f>'Montague Model'!$B$39:$G$39</c:f>
              <c:numCache>
                <c:formatCode>"$"#,##0.00</c:formatCode>
                <c:ptCount val="6"/>
                <c:pt idx="0">
                  <c:v>21.770833333333332</c:v>
                </c:pt>
                <c:pt idx="1">
                  <c:v>43.541666666666664</c:v>
                </c:pt>
                <c:pt idx="2">
                  <c:v>54.427083333333336</c:v>
                </c:pt>
                <c:pt idx="3">
                  <c:v>65.3125</c:v>
                </c:pt>
                <c:pt idx="4">
                  <c:v>87.083333333333329</c:v>
                </c:pt>
                <c:pt idx="5">
                  <c:v>108.85416666666667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C8-4CFB-A09F-912689AD90A7}"/>
            </c:ext>
          </c:extLst>
        </c:ser>
        <c:ser>
          <c:idx val="1"/>
          <c:order val="1"/>
          <c:tx>
            <c:v>Partial Subsc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'Montague Model'!$B$38:$G$38</c:f>
              <c:numCache>
                <c:formatCode>General</c:formatCode>
                <c:ptCount val="6"/>
                <c:pt idx="0">
                  <c:v>1000</c:v>
                </c:pt>
                <c:pt idx="1">
                  <c:v>2000</c:v>
                </c:pt>
                <c:pt idx="2">
                  <c:v>2500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</c:numCache>
            </c:numRef>
          </c:xVal>
          <c:yVal>
            <c:numRef>
              <c:f>'Montague Model'!$B$40:$G$40</c:f>
              <c:numCache>
                <c:formatCode>"$"#,##0.00</c:formatCode>
                <c:ptCount val="6"/>
                <c:pt idx="0">
                  <c:v>31.708333333333332</c:v>
                </c:pt>
                <c:pt idx="1">
                  <c:v>63.416666666666664</c:v>
                </c:pt>
                <c:pt idx="2">
                  <c:v>79.270833333333329</c:v>
                </c:pt>
                <c:pt idx="3">
                  <c:v>95.125</c:v>
                </c:pt>
                <c:pt idx="4">
                  <c:v>126.83333333333333</c:v>
                </c:pt>
                <c:pt idx="5">
                  <c:v>158.54166666666666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C8-4CFB-A09F-912689AD9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944064"/>
        <c:axId val="440944456"/>
      </c:scatterChart>
      <c:valAx>
        <c:axId val="440944064"/>
        <c:scaling>
          <c:orientation val="minMax"/>
          <c:max val="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>
                    <a:solidFill>
                      <a:schemeClr val="tx1"/>
                    </a:solidFill>
                  </a:rPr>
                  <a:t>Volume investment (AF)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944456"/>
        <c:crosses val="autoZero"/>
        <c:crossBetween val="midCat"/>
        <c:minorUnit val="500"/>
      </c:valAx>
      <c:valAx>
        <c:axId val="440944456"/>
        <c:scaling>
          <c:orientation val="minMax"/>
          <c:max val="1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>
                    <a:solidFill>
                      <a:schemeClr val="tx1"/>
                    </a:solidFill>
                  </a:rPr>
                  <a:t>Dollars burden per acre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944064"/>
        <c:crosses val="autoZero"/>
        <c:crossBetween val="midCat"/>
        <c:majorUnit val="25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2019 Cash Call - no financing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Plan B</c:v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'Montague Model'!$A$89:$A$95</c:f>
              <c:numCache>
                <c:formatCode>General</c:formatCode>
                <c:ptCount val="7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4000</c:v>
                </c:pt>
                <c:pt idx="6">
                  <c:v>5000</c:v>
                </c:pt>
              </c:numCache>
            </c:numRef>
          </c:xVal>
          <c:yVal>
            <c:numRef>
              <c:f>'Montague Model'!$B$89:$B$95</c:f>
              <c:numCache>
                <c:formatCode>"$"#,##0.00</c:formatCode>
                <c:ptCount val="7"/>
                <c:pt idx="0">
                  <c:v>41276.595744680853</c:v>
                </c:pt>
                <c:pt idx="1">
                  <c:v>61914.893617021284</c:v>
                </c:pt>
                <c:pt idx="2">
                  <c:v>82553.191489361707</c:v>
                </c:pt>
                <c:pt idx="3">
                  <c:v>103191.48936170213</c:v>
                </c:pt>
                <c:pt idx="4">
                  <c:v>123829.78723404257</c:v>
                </c:pt>
                <c:pt idx="5">
                  <c:v>165106.38297872341</c:v>
                </c:pt>
                <c:pt idx="6">
                  <c:v>206382.97872340426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EA-4744-8722-58E2146E9713}"/>
            </c:ext>
          </c:extLst>
        </c:ser>
        <c:ser>
          <c:idx val="1"/>
          <c:order val="1"/>
          <c:tx>
            <c:v>Plan C</c:v>
          </c:tx>
          <c:spPr>
            <a:ln w="25400" cap="rnd">
              <a:solidFill>
                <a:srgbClr val="00CC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CC00"/>
              </a:solidFill>
              <a:ln w="9525">
                <a:solidFill>
                  <a:srgbClr val="00CC00"/>
                </a:solidFill>
              </a:ln>
              <a:effectLst/>
            </c:spPr>
          </c:marker>
          <c:xVal>
            <c:numRef>
              <c:f>'Montague Model'!$A$89:$A$95</c:f>
              <c:numCache>
                <c:formatCode>General</c:formatCode>
                <c:ptCount val="7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4000</c:v>
                </c:pt>
                <c:pt idx="6">
                  <c:v>5000</c:v>
                </c:pt>
              </c:numCache>
            </c:numRef>
          </c:xVal>
          <c:yVal>
            <c:numRef>
              <c:f>'Montague Model'!$C$89:$C$95</c:f>
              <c:numCache>
                <c:formatCode>"$"#,##0.00</c:formatCode>
                <c:ptCount val="7"/>
                <c:pt idx="0">
                  <c:v>63829.787234042553</c:v>
                </c:pt>
                <c:pt idx="1">
                  <c:v>95744.680851063837</c:v>
                </c:pt>
                <c:pt idx="2">
                  <c:v>127659.57446808511</c:v>
                </c:pt>
                <c:pt idx="3">
                  <c:v>159574.46808510637</c:v>
                </c:pt>
                <c:pt idx="4">
                  <c:v>191489.36170212767</c:v>
                </c:pt>
                <c:pt idx="5">
                  <c:v>255319.14893617021</c:v>
                </c:pt>
                <c:pt idx="6">
                  <c:v>319148.93617021275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EA-4744-8722-58E2146E9713}"/>
            </c:ext>
          </c:extLst>
        </c:ser>
        <c:ser>
          <c:idx val="2"/>
          <c:order val="2"/>
          <c:tx>
            <c:v>Baseline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'Montague Model'!$A$89:$A$95</c:f>
              <c:numCache>
                <c:formatCode>General</c:formatCode>
                <c:ptCount val="7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4000</c:v>
                </c:pt>
                <c:pt idx="6">
                  <c:v>5000</c:v>
                </c:pt>
              </c:numCache>
            </c:numRef>
          </c:xVal>
          <c:yVal>
            <c:numRef>
              <c:f>'Montague Model'!$D$89:$D$95</c:f>
              <c:numCache>
                <c:formatCode>"$"#,##0.00</c:formatCode>
                <c:ptCount val="7"/>
                <c:pt idx="0">
                  <c:v>184680.85106382979</c:v>
                </c:pt>
                <c:pt idx="1">
                  <c:v>277021.27659574465</c:v>
                </c:pt>
                <c:pt idx="2">
                  <c:v>369361.70212765958</c:v>
                </c:pt>
                <c:pt idx="3">
                  <c:v>461702.12765957444</c:v>
                </c:pt>
                <c:pt idx="4">
                  <c:v>554042.55319148931</c:v>
                </c:pt>
                <c:pt idx="5">
                  <c:v>738723.40425531915</c:v>
                </c:pt>
                <c:pt idx="6">
                  <c:v>923404.25531914888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EA-4744-8722-58E2146E9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945240"/>
        <c:axId val="440945632"/>
      </c:scatterChart>
      <c:valAx>
        <c:axId val="440945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chemeClr val="tx1"/>
                    </a:solidFill>
                  </a:rPr>
                  <a:t>Acre Foot Investment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945632"/>
        <c:crosses val="autoZero"/>
        <c:crossBetween val="midCat"/>
        <c:minorUnit val="250"/>
      </c:valAx>
      <c:valAx>
        <c:axId val="44094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chemeClr val="tx1"/>
                    </a:solidFill>
                  </a:rPr>
                  <a:t>Cost</a:t>
                </a:r>
                <a:r>
                  <a:rPr lang="en-US" sz="1400" b="1" baseline="0">
                    <a:solidFill>
                      <a:schemeClr val="tx1"/>
                    </a:solidFill>
                  </a:rPr>
                  <a:t> for 2019</a:t>
                </a:r>
                <a:endParaRPr lang="en-US" sz="14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945240"/>
        <c:crosses val="autoZero"/>
        <c:crossBetween val="midCat"/>
        <c:minorUnit val="2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3200" b="1">
                <a:solidFill>
                  <a:schemeClr val="tx1"/>
                </a:solidFill>
              </a:rPr>
              <a:t>Annual Interest Payment per AF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Annual Interest Payment</c:v>
          </c:tx>
          <c:spPr>
            <a:ln w="381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5000"/>
                </a:schemeClr>
              </a:solidFill>
              <a:ln w="38100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trendline>
            <c:spPr>
              <a:ln w="38100" cap="rnd">
                <a:solidFill>
                  <a:schemeClr val="accent5">
                    <a:lumMod val="75000"/>
                  </a:schemeClr>
                </a:solidFill>
                <a:prstDash val="solid"/>
              </a:ln>
              <a:effectLst/>
            </c:spPr>
            <c:trendlineType val="linear"/>
            <c:forward val="1"/>
            <c:dispRSqr val="0"/>
            <c:dispEq val="0"/>
          </c:trendline>
          <c:xVal>
            <c:numRef>
              <c:f>'Montague Model'!$I$4:$I$5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xVal>
          <c:yVal>
            <c:numRef>
              <c:f>'Montague Model'!$J$4:$J$5</c:f>
              <c:numCache>
                <c:formatCode>"$"#,##0.00</c:formatCode>
                <c:ptCount val="2"/>
                <c:pt idx="0">
                  <c:v>15.32</c:v>
                </c:pt>
                <c:pt idx="1">
                  <c:v>20.88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3F-4A1E-9E3D-94F9B282F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883504"/>
        <c:axId val="441883896"/>
      </c:scatterChart>
      <c:valAx>
        <c:axId val="441883504"/>
        <c:scaling>
          <c:orientation val="minMax"/>
          <c:max val="2022"/>
          <c:min val="2020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883896"/>
        <c:crosses val="autoZero"/>
        <c:crossBetween val="midCat"/>
        <c:majorUnit val="1"/>
        <c:minorUnit val="0.5"/>
      </c:valAx>
      <c:valAx>
        <c:axId val="44188389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883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Investment</a:t>
            </a:r>
            <a:r>
              <a:rPr lang="en-US" baseline="0"/>
              <a:t> drop off</a:t>
            </a:r>
            <a:endParaRPr lang="en-US"/>
          </a:p>
        </c:rich>
      </c:tx>
      <c:layout>
        <c:manualLayout>
          <c:xMode val="edge"/>
          <c:yMode val="edge"/>
          <c:x val="0.31609224371300332"/>
          <c:y val="1.6032064128256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Doherty Curve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'CDFW Negotiation Affordability'!$G$49:$H$49</c:f>
              <c:numCache>
                <c:formatCode>"$"#,##0_);[Red]\("$"#,##0\)</c:formatCode>
                <c:ptCount val="2"/>
                <c:pt idx="0">
                  <c:v>750</c:v>
                </c:pt>
                <c:pt idx="1">
                  <c:v>900</c:v>
                </c:pt>
              </c:numCache>
            </c:numRef>
          </c:xVal>
          <c:yVal>
            <c:numRef>
              <c:f>'CDFW Negotiation Affordability'!$G$50:$H$50</c:f>
              <c:numCache>
                <c:formatCode>General</c:formatCode>
                <c:ptCount val="2"/>
                <c:pt idx="0">
                  <c:v>1000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20-4528-A78E-B209450C67F2}"/>
            </c:ext>
          </c:extLst>
        </c:ser>
        <c:ser>
          <c:idx val="1"/>
          <c:order val="1"/>
          <c:tx>
            <c:v>Known Investors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'CDFW Negotiation Affordability'!$A$49:$A$52</c:f>
              <c:numCache>
                <c:formatCode>_("$"* #,##0.00_);_("$"* \(#,##0.00\);_("$"* "-"??_);_(@_)</c:formatCode>
                <c:ptCount val="4"/>
                <c:pt idx="0">
                  <c:v>830</c:v>
                </c:pt>
                <c:pt idx="1">
                  <c:v>750</c:v>
                </c:pt>
                <c:pt idx="2">
                  <c:v>900</c:v>
                </c:pt>
                <c:pt idx="3">
                  <c:v>934.94953252523374</c:v>
                </c:pt>
              </c:numCache>
            </c:numRef>
          </c:xVal>
          <c:yVal>
            <c:numRef>
              <c:f>'CDFW Negotiation Affordability'!$B$49:$B$52</c:f>
              <c:numCache>
                <c:formatCode>0</c:formatCode>
                <c:ptCount val="4"/>
                <c:pt idx="0" formatCode="General">
                  <c:v>700</c:v>
                </c:pt>
                <c:pt idx="1">
                  <c:v>1232.9750000000004</c:v>
                </c:pt>
                <c:pt idx="2">
                  <c:v>232.97000000000025</c:v>
                </c:pt>
                <c:pt idx="3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20-4528-A78E-B209450C67F2}"/>
            </c:ext>
          </c:extLst>
        </c:ser>
        <c:ser>
          <c:idx val="2"/>
          <c:order val="2"/>
          <c:tx>
            <c:v>Optimistic</c:v>
          </c:tx>
          <c:spPr>
            <a:ln w="19050" cap="rnd">
              <a:solidFill>
                <a:srgbClr val="00CC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00CC00"/>
              </a:solidFill>
              <a:ln w="19050">
                <a:solidFill>
                  <a:srgbClr val="00CC00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3"/>
                </a:solidFill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'CDFW Negotiation Affordability'!$A$49:$A$53</c:f>
              <c:numCache>
                <c:formatCode>_("$"* #,##0.00_);_("$"* \(#,##0.00\);_("$"* "-"??_);_(@_)</c:formatCode>
                <c:ptCount val="5"/>
                <c:pt idx="0">
                  <c:v>830</c:v>
                </c:pt>
                <c:pt idx="1">
                  <c:v>750</c:v>
                </c:pt>
                <c:pt idx="2">
                  <c:v>900</c:v>
                </c:pt>
                <c:pt idx="3">
                  <c:v>934.94953252523374</c:v>
                </c:pt>
                <c:pt idx="4">
                  <c:v>979.94951002524499</c:v>
                </c:pt>
              </c:numCache>
            </c:numRef>
          </c:xVal>
          <c:yVal>
            <c:numRef>
              <c:f>'CDFW Negotiation Affordability'!$D$49:$D$53</c:f>
              <c:numCache>
                <c:formatCode>0</c:formatCode>
                <c:ptCount val="5"/>
                <c:pt idx="0" formatCode="General">
                  <c:v>1000</c:v>
                </c:pt>
                <c:pt idx="1">
                  <c:v>1532.9750000000004</c:v>
                </c:pt>
                <c:pt idx="2">
                  <c:v>532.97000000000025</c:v>
                </c:pt>
                <c:pt idx="3">
                  <c:v>299.97195151402502</c:v>
                </c:pt>
                <c:pt idx="4">
                  <c:v>-2.9398485300589527E-2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20-4528-A78E-B209450C6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884680"/>
        <c:axId val="441885072"/>
      </c:scatterChart>
      <c:valAx>
        <c:axId val="441884680"/>
        <c:scaling>
          <c:orientation val="minMax"/>
          <c:max val="1000"/>
          <c:min val="7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885072"/>
        <c:crosses val="autoZero"/>
        <c:crossBetween val="midCat"/>
        <c:majorUnit val="25"/>
        <c:minorUnit val="5"/>
      </c:valAx>
      <c:valAx>
        <c:axId val="441885072"/>
        <c:scaling>
          <c:orientation val="minMax"/>
          <c:max val="1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884680"/>
        <c:crosses val="autoZero"/>
        <c:crossBetween val="midCat"/>
        <c:majorUnit val="250"/>
        <c:minorUnit val="50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</a:rPr>
              <a:t>Annual Per Acre Price (Peak Payment Period ~ 2030 to 2060)</a:t>
            </a:r>
          </a:p>
        </c:rich>
      </c:tx>
      <c:layout>
        <c:manualLayout>
          <c:xMode val="edge"/>
          <c:yMode val="edge"/>
          <c:x val="0.14333681741109794"/>
          <c:y val="2.7777929142940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80% CL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Graphs!$S$3:$Y$3</c:f>
              <c:numCache>
                <c:formatCode>0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2500</c:v>
                </c:pt>
                <c:pt idx="3">
                  <c:v>5000</c:v>
                </c:pt>
                <c:pt idx="4">
                  <c:v>10000</c:v>
                </c:pt>
                <c:pt idx="5">
                  <c:v>15000</c:v>
                </c:pt>
                <c:pt idx="6">
                  <c:v>20000</c:v>
                </c:pt>
              </c:numCache>
            </c:numRef>
          </c:xVal>
          <c:yVal>
            <c:numRef>
              <c:f>Graphs!$S$16:$Y$16</c:f>
              <c:numCache>
                <c:formatCode>"$"#,##0.00</c:formatCode>
                <c:ptCount val="7"/>
                <c:pt idx="0">
                  <c:v>18.58928233816896</c:v>
                </c:pt>
                <c:pt idx="1">
                  <c:v>37.178564676337921</c:v>
                </c:pt>
                <c:pt idx="2">
                  <c:v>46.473205845422406</c:v>
                </c:pt>
                <c:pt idx="3">
                  <c:v>92.946411690844812</c:v>
                </c:pt>
                <c:pt idx="4">
                  <c:v>185.89282338168962</c:v>
                </c:pt>
                <c:pt idx="5">
                  <c:v>278.83923507253439</c:v>
                </c:pt>
                <c:pt idx="6">
                  <c:v>371.78564676337925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27-4D16-87E6-2372674DFE5E}"/>
            </c:ext>
          </c:extLst>
        </c:ser>
        <c:ser>
          <c:idx val="1"/>
          <c:order val="1"/>
          <c:tx>
            <c:v>Worst Case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Graphs!$S$3:$Y$3</c:f>
              <c:numCache>
                <c:formatCode>0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2500</c:v>
                </c:pt>
                <c:pt idx="3">
                  <c:v>5000</c:v>
                </c:pt>
                <c:pt idx="4">
                  <c:v>10000</c:v>
                </c:pt>
                <c:pt idx="5">
                  <c:v>15000</c:v>
                </c:pt>
                <c:pt idx="6">
                  <c:v>20000</c:v>
                </c:pt>
              </c:numCache>
            </c:numRef>
          </c:xVal>
          <c:yVal>
            <c:numRef>
              <c:f>Graphs!$S$37:$Y$37</c:f>
              <c:numCache>
                <c:formatCode>"$"#,##0.00</c:formatCode>
                <c:ptCount val="7"/>
                <c:pt idx="0">
                  <c:v>23.11208689433796</c:v>
                </c:pt>
                <c:pt idx="1">
                  <c:v>46.22417378867592</c:v>
                </c:pt>
                <c:pt idx="2">
                  <c:v>57.780217235844894</c:v>
                </c:pt>
                <c:pt idx="3">
                  <c:v>115.56043447168979</c:v>
                </c:pt>
                <c:pt idx="4">
                  <c:v>231.12086894337958</c:v>
                </c:pt>
                <c:pt idx="5">
                  <c:v>346.68130341506941</c:v>
                </c:pt>
                <c:pt idx="6">
                  <c:v>462.24173788675915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27-4D16-87E6-2372674DFE5E}"/>
            </c:ext>
          </c:extLst>
        </c:ser>
        <c:ser>
          <c:idx val="2"/>
          <c:order val="2"/>
          <c:tx>
            <c:v>Best Case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Graphs!$S$3:$Y$3</c:f>
              <c:numCache>
                <c:formatCode>0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2500</c:v>
                </c:pt>
                <c:pt idx="3">
                  <c:v>5000</c:v>
                </c:pt>
                <c:pt idx="4">
                  <c:v>10000</c:v>
                </c:pt>
                <c:pt idx="5">
                  <c:v>15000</c:v>
                </c:pt>
                <c:pt idx="6">
                  <c:v>20000</c:v>
                </c:pt>
              </c:numCache>
            </c:numRef>
          </c:xVal>
          <c:yVal>
            <c:numRef>
              <c:f>Graphs!$S$57:$Y$57</c:f>
              <c:numCache>
                <c:formatCode>"$"#,##0.00</c:formatCode>
                <c:ptCount val="7"/>
                <c:pt idx="0">
                  <c:v>13.987684416522526</c:v>
                </c:pt>
                <c:pt idx="1">
                  <c:v>27.975368833045053</c:v>
                </c:pt>
                <c:pt idx="2">
                  <c:v>34.969211041306316</c:v>
                </c:pt>
                <c:pt idx="3">
                  <c:v>69.938422082612632</c:v>
                </c:pt>
                <c:pt idx="4">
                  <c:v>139.87684416522526</c:v>
                </c:pt>
                <c:pt idx="5">
                  <c:v>209.81526624783788</c:v>
                </c:pt>
                <c:pt idx="6">
                  <c:v>279.75368833045053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27-4D16-87E6-2372674DF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421192"/>
        <c:axId val="235422368"/>
      </c:scatterChart>
      <c:valAx>
        <c:axId val="235421192"/>
        <c:scaling>
          <c:orientation val="minMax"/>
          <c:max val="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>
                    <a:solidFill>
                      <a:schemeClr val="tx1"/>
                    </a:solidFill>
                  </a:rPr>
                  <a:t>Total Quantity Invested In (AF)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422368"/>
        <c:crosses val="autoZero"/>
        <c:crossBetween val="midCat"/>
        <c:minorUnit val="500"/>
      </c:valAx>
      <c:valAx>
        <c:axId val="23542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>
                    <a:solidFill>
                      <a:schemeClr val="tx1"/>
                    </a:solidFill>
                  </a:rPr>
                  <a:t>Dollars Per Acre of Land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4211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Not</a:t>
            </a:r>
            <a:r>
              <a:rPr lang="en-US" baseline="0"/>
              <a:t> Used</a:t>
            </a:r>
            <a:endParaRPr lang="en-US"/>
          </a:p>
        </c:rich>
      </c:tx>
      <c:layout>
        <c:manualLayout>
          <c:xMode val="edge"/>
          <c:yMode val="edge"/>
          <c:x val="0.2979999999999999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80% CL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Graphs!$B$82:$F$82</c:f>
              <c:numCache>
                <c:formatCode>General</c:formatCode>
                <c:ptCount val="5"/>
                <c:pt idx="0">
                  <c:v>7500</c:v>
                </c:pt>
                <c:pt idx="1">
                  <c:v>11250</c:v>
                </c:pt>
                <c:pt idx="2">
                  <c:v>15000</c:v>
                </c:pt>
                <c:pt idx="3">
                  <c:v>18750</c:v>
                </c:pt>
                <c:pt idx="4">
                  <c:v>22500</c:v>
                </c:pt>
              </c:numCache>
            </c:numRef>
          </c:xVal>
          <c:yVal>
            <c:numRef>
              <c:f>Graphs!$B$95:$F$95</c:f>
              <c:numCache>
                <c:formatCode>"$"#,##0.00</c:formatCode>
                <c:ptCount val="5"/>
                <c:pt idx="0">
                  <c:v>33.655895673254903</c:v>
                </c:pt>
                <c:pt idx="1">
                  <c:v>50.483843509882348</c:v>
                </c:pt>
                <c:pt idx="2">
                  <c:v>67.311791346509807</c:v>
                </c:pt>
                <c:pt idx="3">
                  <c:v>84.139739183137266</c:v>
                </c:pt>
                <c:pt idx="4">
                  <c:v>100.9676870197647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06-4229-A126-271589EB26FC}"/>
            </c:ext>
          </c:extLst>
        </c:ser>
        <c:ser>
          <c:idx val="1"/>
          <c:order val="1"/>
          <c:tx>
            <c:v>Worst Case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Graphs!$H$82:$L$82</c:f>
              <c:numCache>
                <c:formatCode>General</c:formatCode>
                <c:ptCount val="5"/>
                <c:pt idx="0">
                  <c:v>7500</c:v>
                </c:pt>
                <c:pt idx="1">
                  <c:v>11250</c:v>
                </c:pt>
                <c:pt idx="2">
                  <c:v>15000</c:v>
                </c:pt>
                <c:pt idx="3">
                  <c:v>18750</c:v>
                </c:pt>
                <c:pt idx="4">
                  <c:v>22500</c:v>
                </c:pt>
              </c:numCache>
            </c:numRef>
          </c:xVal>
          <c:yVal>
            <c:numRef>
              <c:f>Graphs!$H$95:$L$95</c:f>
              <c:numCache>
                <c:formatCode>"$"#,##0.00</c:formatCode>
                <c:ptCount val="5"/>
                <c:pt idx="0">
                  <c:v>41.844433322198881</c:v>
                </c:pt>
                <c:pt idx="1">
                  <c:v>62.766649983298315</c:v>
                </c:pt>
                <c:pt idx="2">
                  <c:v>83.688866644397763</c:v>
                </c:pt>
                <c:pt idx="3">
                  <c:v>104.61108330549719</c:v>
                </c:pt>
                <c:pt idx="4">
                  <c:v>125.53329996659663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06-4229-A126-271589EB26FC}"/>
            </c:ext>
          </c:extLst>
        </c:ser>
        <c:ser>
          <c:idx val="2"/>
          <c:order val="2"/>
          <c:tx>
            <c:v>Best Case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Graphs!$N$82:$R$82</c:f>
              <c:numCache>
                <c:formatCode>General</c:formatCode>
                <c:ptCount val="5"/>
                <c:pt idx="0">
                  <c:v>7500</c:v>
                </c:pt>
                <c:pt idx="1">
                  <c:v>11250</c:v>
                </c:pt>
                <c:pt idx="2">
                  <c:v>15000</c:v>
                </c:pt>
                <c:pt idx="3">
                  <c:v>18750</c:v>
                </c:pt>
                <c:pt idx="4">
                  <c:v>22500</c:v>
                </c:pt>
              </c:numCache>
            </c:numRef>
          </c:xVal>
          <c:yVal>
            <c:numRef>
              <c:f>Graphs!$N$95:$R$95</c:f>
              <c:numCache>
                <c:formatCode>"$"#,##0.00</c:formatCode>
                <c:ptCount val="5"/>
                <c:pt idx="0">
                  <c:v>29.788550531947369</c:v>
                </c:pt>
                <c:pt idx="1">
                  <c:v>44.682825797921055</c:v>
                </c:pt>
                <c:pt idx="2">
                  <c:v>59.577101063894737</c:v>
                </c:pt>
                <c:pt idx="3">
                  <c:v>74.471376329868434</c:v>
                </c:pt>
                <c:pt idx="4">
                  <c:v>89.36565159584211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06-4229-A126-271589EB2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423152"/>
        <c:axId val="235423544"/>
      </c:scatterChart>
      <c:valAx>
        <c:axId val="235423152"/>
        <c:scaling>
          <c:orientation val="minMax"/>
          <c:min val="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Storage</a:t>
                </a:r>
                <a:r>
                  <a:rPr lang="en-US" baseline="0"/>
                  <a:t> Invested In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423544"/>
        <c:crosses val="autoZero"/>
        <c:crossBetween val="midCat"/>
        <c:minorUnit val="500"/>
      </c:valAx>
      <c:valAx>
        <c:axId val="23542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</a:t>
                </a:r>
                <a:r>
                  <a:rPr lang="en-US" baseline="0"/>
                  <a:t> Per Acre of Land Owned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423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</a:rPr>
              <a:t>Compare Price vs Cost (2015)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 Price in Year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Graphs!$A$4:$A$20</c:f>
              <c:numCache>
                <c:formatCode>General</c:formatCod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2059</c:v>
                </c:pt>
                <c:pt idx="14">
                  <c:v>2060</c:v>
                </c:pt>
                <c:pt idx="15">
                  <c:v>2069</c:v>
                </c:pt>
                <c:pt idx="16">
                  <c:v>2070</c:v>
                </c:pt>
              </c:numCache>
            </c:numRef>
          </c:xVal>
          <c:yVal>
            <c:numRef>
              <c:f>Graphs!$D$4:$D$20</c:f>
              <c:numCache>
                <c:formatCode>"$"#,##0.00</c:formatCode>
                <c:ptCount val="17"/>
                <c:pt idx="0">
                  <c:v>4.0022797366929392</c:v>
                </c:pt>
                <c:pt idx="1">
                  <c:v>11.625927679933522</c:v>
                </c:pt>
                <c:pt idx="2">
                  <c:v>34.449716084264381</c:v>
                </c:pt>
                <c:pt idx="3">
                  <c:v>78.844763166035435</c:v>
                </c:pt>
                <c:pt idx="4">
                  <c:v>282.9757389015262</c:v>
                </c:pt>
                <c:pt idx="5">
                  <c:v>282.9757389015262</c:v>
                </c:pt>
                <c:pt idx="6">
                  <c:v>522.74006025040444</c:v>
                </c:pt>
                <c:pt idx="7">
                  <c:v>522.74006025040444</c:v>
                </c:pt>
                <c:pt idx="8">
                  <c:v>522.74006025040444</c:v>
                </c:pt>
                <c:pt idx="9">
                  <c:v>602.20919015968491</c:v>
                </c:pt>
                <c:pt idx="10">
                  <c:v>732.2528634754924</c:v>
                </c:pt>
                <c:pt idx="11">
                  <c:v>892.28555223211004</c:v>
                </c:pt>
                <c:pt idx="12">
                  <c:v>892.28555223211004</c:v>
                </c:pt>
                <c:pt idx="13">
                  <c:v>892.28555499377808</c:v>
                </c:pt>
                <c:pt idx="14">
                  <c:v>773.93995764497947</c:v>
                </c:pt>
                <c:pt idx="15">
                  <c:v>773.93995764497947</c:v>
                </c:pt>
                <c:pt idx="16">
                  <c:v>20.755219324843342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A4-4B0B-B8DF-C87FA830EEAB}"/>
            </c:ext>
          </c:extLst>
        </c:ser>
        <c:ser>
          <c:idx val="1"/>
          <c:order val="1"/>
          <c:tx>
            <c:v>Cost in 2015 Dollars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Graphs!$A$4:$A$20</c:f>
              <c:numCache>
                <c:formatCode>General</c:formatCod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2059</c:v>
                </c:pt>
                <c:pt idx="14">
                  <c:v>2060</c:v>
                </c:pt>
                <c:pt idx="15">
                  <c:v>2069</c:v>
                </c:pt>
                <c:pt idx="16">
                  <c:v>2070</c:v>
                </c:pt>
              </c:numCache>
            </c:numRef>
          </c:xVal>
          <c:yVal>
            <c:numRef>
              <c:f>Graphs!$J$4:$J$20</c:f>
              <c:numCache>
                <c:formatCode>"$"#,##0.00</c:formatCode>
                <c:ptCount val="17"/>
                <c:pt idx="0">
                  <c:v>3.7125377330461888</c:v>
                </c:pt>
                <c:pt idx="1">
                  <c:v>10.594084247390651</c:v>
                </c:pt>
                <c:pt idx="2">
                  <c:v>30.848135689495791</c:v>
                </c:pt>
                <c:pt idx="3">
                  <c:v>69.399134982955133</c:v>
                </c:pt>
                <c:pt idx="4">
                  <c:v>244.90315875210518</c:v>
                </c:pt>
                <c:pt idx="5">
                  <c:v>240.86862277724833</c:v>
                </c:pt>
                <c:pt idx="6">
                  <c:v>437.74433418964981</c:v>
                </c:pt>
                <c:pt idx="7">
                  <c:v>430.76295422087532</c:v>
                </c:pt>
                <c:pt idx="8">
                  <c:v>424.00076403455193</c:v>
                </c:pt>
                <c:pt idx="9">
                  <c:v>480.90973041768922</c:v>
                </c:pt>
                <c:pt idx="10">
                  <c:v>575.85925110977234</c:v>
                </c:pt>
                <c:pt idx="11">
                  <c:v>691.19220827063077</c:v>
                </c:pt>
                <c:pt idx="12">
                  <c:v>680.98282957883339</c:v>
                </c:pt>
                <c:pt idx="13">
                  <c:v>481.7437278030124</c:v>
                </c:pt>
                <c:pt idx="14">
                  <c:v>413.52809337708266</c:v>
                </c:pt>
                <c:pt idx="15">
                  <c:v>378.3181285996717</c:v>
                </c:pt>
                <c:pt idx="16">
                  <c:v>10.050504061022906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A4-4B0B-B8DF-C87FA830E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481904"/>
        <c:axId val="439482296"/>
      </c:scatterChart>
      <c:valAx>
        <c:axId val="439481904"/>
        <c:scaling>
          <c:orientation val="minMax"/>
          <c:min val="20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>
                    <a:solidFill>
                      <a:schemeClr val="tx1"/>
                    </a:solidFill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482296"/>
        <c:crosses val="autoZero"/>
        <c:crossBetween val="midCat"/>
        <c:majorUnit val="10"/>
        <c:minorUnit val="5"/>
      </c:valAx>
      <c:valAx>
        <c:axId val="439482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>
                    <a:solidFill>
                      <a:schemeClr val="tx1"/>
                    </a:solidFill>
                  </a:rPr>
                  <a:t>Dollars Per AF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481904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Annual</a:t>
            </a:r>
            <a:r>
              <a:rPr lang="en-US" b="1" baseline="0">
                <a:solidFill>
                  <a:schemeClr val="tx1"/>
                </a:solidFill>
              </a:rPr>
              <a:t> Per Acre Price Zoomed In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80% CL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Graphs!$S$3:$V$3</c:f>
              <c:numCache>
                <c:formatCode>0</c:formatCode>
                <c:ptCount val="4"/>
                <c:pt idx="0">
                  <c:v>1000</c:v>
                </c:pt>
                <c:pt idx="1">
                  <c:v>2000</c:v>
                </c:pt>
                <c:pt idx="2">
                  <c:v>2500</c:v>
                </c:pt>
                <c:pt idx="3">
                  <c:v>5000</c:v>
                </c:pt>
              </c:numCache>
            </c:numRef>
          </c:xVal>
          <c:yVal>
            <c:numRef>
              <c:f>Graphs!$S$15:$V$15</c:f>
              <c:numCache>
                <c:formatCode>"$"#,##0.00</c:formatCode>
                <c:ptCount val="4"/>
                <c:pt idx="0">
                  <c:v>18.58928233816896</c:v>
                </c:pt>
                <c:pt idx="1">
                  <c:v>37.178564676337921</c:v>
                </c:pt>
                <c:pt idx="2">
                  <c:v>46.473205845422406</c:v>
                </c:pt>
                <c:pt idx="3">
                  <c:v>92.946411690844812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D-4188-B2AA-841ACEE68670}"/>
            </c:ext>
          </c:extLst>
        </c:ser>
        <c:ser>
          <c:idx val="1"/>
          <c:order val="1"/>
          <c:tx>
            <c:v>Worst Case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Graphs!$S$3:$V$3</c:f>
              <c:numCache>
                <c:formatCode>0</c:formatCode>
                <c:ptCount val="4"/>
                <c:pt idx="0">
                  <c:v>1000</c:v>
                </c:pt>
                <c:pt idx="1">
                  <c:v>2000</c:v>
                </c:pt>
                <c:pt idx="2">
                  <c:v>2500</c:v>
                </c:pt>
                <c:pt idx="3">
                  <c:v>5000</c:v>
                </c:pt>
              </c:numCache>
            </c:numRef>
          </c:xVal>
          <c:yVal>
            <c:numRef>
              <c:f>Graphs!$S$40:$V$40</c:f>
              <c:numCache>
                <c:formatCode>"$"#,##0.00</c:formatCode>
                <c:ptCount val="4"/>
                <c:pt idx="0">
                  <c:v>20.646553673772736</c:v>
                </c:pt>
                <c:pt idx="1">
                  <c:v>41.293107347545472</c:v>
                </c:pt>
                <c:pt idx="2">
                  <c:v>51.616384184431837</c:v>
                </c:pt>
                <c:pt idx="3">
                  <c:v>103.23276836886367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D-4188-B2AA-841ACEE68670}"/>
            </c:ext>
          </c:extLst>
        </c:ser>
        <c:ser>
          <c:idx val="2"/>
          <c:order val="2"/>
          <c:tx>
            <c:v>Best Case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Graphs!$S$3:$V$3</c:f>
              <c:numCache>
                <c:formatCode>0</c:formatCode>
                <c:ptCount val="4"/>
                <c:pt idx="0">
                  <c:v>1000</c:v>
                </c:pt>
                <c:pt idx="1">
                  <c:v>2000</c:v>
                </c:pt>
                <c:pt idx="2">
                  <c:v>2500</c:v>
                </c:pt>
                <c:pt idx="3">
                  <c:v>5000</c:v>
                </c:pt>
              </c:numCache>
            </c:numRef>
          </c:xVal>
          <c:yVal>
            <c:numRef>
              <c:f>Graphs!$S$58:$V$58</c:f>
              <c:numCache>
                <c:formatCode>"$"#,##0.00</c:formatCode>
                <c:ptCount val="4"/>
                <c:pt idx="0">
                  <c:v>13.987684416522526</c:v>
                </c:pt>
                <c:pt idx="1">
                  <c:v>27.975368833045053</c:v>
                </c:pt>
                <c:pt idx="2">
                  <c:v>34.969211041306316</c:v>
                </c:pt>
                <c:pt idx="3">
                  <c:v>69.938422082612632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CD-4188-B2AA-841ACEE68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484648"/>
        <c:axId val="439485040"/>
      </c:scatterChart>
      <c:valAx>
        <c:axId val="439484648"/>
        <c:scaling>
          <c:orientation val="minMax"/>
          <c:max val="5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Annual</a:t>
                </a:r>
                <a:r>
                  <a:rPr lang="en-US" baseline="0">
                    <a:solidFill>
                      <a:schemeClr val="tx1"/>
                    </a:solidFill>
                  </a:rPr>
                  <a:t> Yield AF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485040"/>
        <c:crosses val="autoZero"/>
        <c:crossBetween val="midCat"/>
        <c:majorUnit val="1000"/>
        <c:minorUnit val="500"/>
      </c:valAx>
      <c:valAx>
        <c:axId val="439485040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Dollars</a:t>
                </a:r>
                <a:r>
                  <a:rPr lang="en-US" baseline="0">
                    <a:solidFill>
                      <a:schemeClr val="tx1"/>
                    </a:solidFill>
                  </a:rPr>
                  <a:t> Per Acre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484648"/>
        <c:crosses val="autoZero"/>
        <c:crossBetween val="midCat"/>
        <c:majorUnit val="10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Price</a:t>
            </a:r>
            <a:r>
              <a:rPr lang="en-US" sz="1600" b="1" baseline="0">
                <a:solidFill>
                  <a:schemeClr val="tx1"/>
                </a:solidFill>
              </a:rPr>
              <a:t> Per Acre</a:t>
            </a:r>
            <a:endParaRPr lang="en-US" sz="16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80% CL (5KAF)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Graphs!$A$102:$A$118</c:f>
              <c:numCache>
                <c:formatCode>General</c:formatCod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2059</c:v>
                </c:pt>
                <c:pt idx="14">
                  <c:v>2060</c:v>
                </c:pt>
                <c:pt idx="15">
                  <c:v>2069</c:v>
                </c:pt>
                <c:pt idx="16">
                  <c:v>2070</c:v>
                </c:pt>
              </c:numCache>
            </c:numRef>
          </c:xVal>
          <c:yVal>
            <c:numRef>
              <c:f>Graphs!$C$102:$C$118</c:f>
              <c:numCache>
                <c:formatCode>"$"#,##0.00</c:formatCode>
                <c:ptCount val="17"/>
                <c:pt idx="0">
                  <c:v>0.41690413923884784</c:v>
                </c:pt>
                <c:pt idx="1">
                  <c:v>1.2110341333264085</c:v>
                </c:pt>
                <c:pt idx="2">
                  <c:v>3.5885120921108733</c:v>
                </c:pt>
                <c:pt idx="3">
                  <c:v>8.2129961631286914</c:v>
                </c:pt>
                <c:pt idx="4">
                  <c:v>29.476639468908978</c:v>
                </c:pt>
                <c:pt idx="5">
                  <c:v>29.476639468908978</c:v>
                </c:pt>
                <c:pt idx="6">
                  <c:v>54.452089609417136</c:v>
                </c:pt>
                <c:pt idx="7">
                  <c:v>54.452089609417136</c:v>
                </c:pt>
                <c:pt idx="8">
                  <c:v>54.452089609417136</c:v>
                </c:pt>
                <c:pt idx="9">
                  <c:v>62.730123974967178</c:v>
                </c:pt>
                <c:pt idx="10">
                  <c:v>76.276339945363787</c:v>
                </c:pt>
                <c:pt idx="11">
                  <c:v>92.946411690844812</c:v>
                </c:pt>
                <c:pt idx="12">
                  <c:v>92.946411690844812</c:v>
                </c:pt>
                <c:pt idx="13">
                  <c:v>92.946411978518555</c:v>
                </c:pt>
                <c:pt idx="14">
                  <c:v>80.618745588018697</c:v>
                </c:pt>
                <c:pt idx="15">
                  <c:v>80.618745588018697</c:v>
                </c:pt>
                <c:pt idx="16">
                  <c:v>2.1620020130045146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16-414B-AFBD-E09A80D40E72}"/>
            </c:ext>
          </c:extLst>
        </c:ser>
        <c:ser>
          <c:idx val="1"/>
          <c:order val="1"/>
          <c:tx>
            <c:v>80%CL 2.5KAF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Graphs!$A$102:$A$118</c:f>
              <c:numCache>
                <c:formatCode>General</c:formatCode>
                <c:ptCount val="1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2059</c:v>
                </c:pt>
                <c:pt idx="14">
                  <c:v>2060</c:v>
                </c:pt>
                <c:pt idx="15">
                  <c:v>2069</c:v>
                </c:pt>
                <c:pt idx="16">
                  <c:v>2070</c:v>
                </c:pt>
              </c:numCache>
            </c:numRef>
          </c:xVal>
          <c:yVal>
            <c:numRef>
              <c:f>Graphs!$E$102:$E$118</c:f>
              <c:numCache>
                <c:formatCode>"$"#,##0.00</c:formatCode>
                <c:ptCount val="17"/>
                <c:pt idx="0">
                  <c:v>0.20845206961942392</c:v>
                </c:pt>
                <c:pt idx="1">
                  <c:v>0.60551706666320426</c:v>
                </c:pt>
                <c:pt idx="2">
                  <c:v>1.7942560460554366</c:v>
                </c:pt>
                <c:pt idx="3">
                  <c:v>4.1064980815643457</c:v>
                </c:pt>
                <c:pt idx="4">
                  <c:v>14.738319734454489</c:v>
                </c:pt>
                <c:pt idx="5">
                  <c:v>14.738319734454489</c:v>
                </c:pt>
                <c:pt idx="6">
                  <c:v>27.226044804708568</c:v>
                </c:pt>
                <c:pt idx="7">
                  <c:v>27.226044804708568</c:v>
                </c:pt>
                <c:pt idx="8">
                  <c:v>27.226044804708568</c:v>
                </c:pt>
                <c:pt idx="9">
                  <c:v>31.365061987483589</c:v>
                </c:pt>
                <c:pt idx="10">
                  <c:v>38.138169972681894</c:v>
                </c:pt>
                <c:pt idx="11">
                  <c:v>46.473205845422406</c:v>
                </c:pt>
                <c:pt idx="12">
                  <c:v>46.473205845422406</c:v>
                </c:pt>
                <c:pt idx="13">
                  <c:v>46.473205989259277</c:v>
                </c:pt>
                <c:pt idx="14">
                  <c:v>40.309372794009349</c:v>
                </c:pt>
                <c:pt idx="15">
                  <c:v>40.309372794009349</c:v>
                </c:pt>
                <c:pt idx="16">
                  <c:v>1.0810010065022573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16-414B-AFBD-E09A80D40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271120"/>
        <c:axId val="440271512"/>
      </c:scatterChart>
      <c:valAx>
        <c:axId val="440271120"/>
        <c:scaling>
          <c:orientation val="minMax"/>
          <c:max val="2075"/>
          <c:min val="20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271512"/>
        <c:crosses val="autoZero"/>
        <c:crossBetween val="midCat"/>
        <c:majorUnit val="5"/>
        <c:minorUnit val="1"/>
      </c:valAx>
      <c:valAx>
        <c:axId val="44027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>
                    <a:solidFill>
                      <a:schemeClr val="tx1"/>
                    </a:solidFill>
                  </a:rPr>
                  <a:t>Cost Per Acre</a:t>
                </a:r>
                <a:endParaRPr lang="en-US" sz="12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271120"/>
        <c:crosses val="autoZero"/>
        <c:crossBetween val="midCat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</a:rPr>
              <a:t>Price of Water Trends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CVP Price of Water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accent1">
                    <a:lumMod val="20000"/>
                    <a:lumOff val="8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'Price of Water'!$A$5:$A$81</c:f>
              <c:numCache>
                <c:formatCode>General</c:formatCode>
                <c:ptCount val="7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  <c:pt idx="42">
                  <c:v>2046</c:v>
                </c:pt>
                <c:pt idx="43">
                  <c:v>2047</c:v>
                </c:pt>
                <c:pt idx="44">
                  <c:v>2048</c:v>
                </c:pt>
                <c:pt idx="45">
                  <c:v>2049</c:v>
                </c:pt>
                <c:pt idx="46">
                  <c:v>2050</c:v>
                </c:pt>
                <c:pt idx="47">
                  <c:v>2051</c:v>
                </c:pt>
                <c:pt idx="48">
                  <c:v>2052</c:v>
                </c:pt>
                <c:pt idx="49">
                  <c:v>2053</c:v>
                </c:pt>
                <c:pt idx="50">
                  <c:v>2054</c:v>
                </c:pt>
                <c:pt idx="51">
                  <c:v>2055</c:v>
                </c:pt>
                <c:pt idx="52">
                  <c:v>2056</c:v>
                </c:pt>
                <c:pt idx="53">
                  <c:v>2057</c:v>
                </c:pt>
                <c:pt idx="54">
                  <c:v>2058</c:v>
                </c:pt>
                <c:pt idx="55">
                  <c:v>2059</c:v>
                </c:pt>
                <c:pt idx="56">
                  <c:v>2060</c:v>
                </c:pt>
                <c:pt idx="57">
                  <c:v>2061</c:v>
                </c:pt>
                <c:pt idx="58">
                  <c:v>2062</c:v>
                </c:pt>
                <c:pt idx="59">
                  <c:v>2063</c:v>
                </c:pt>
                <c:pt idx="60">
                  <c:v>2064</c:v>
                </c:pt>
                <c:pt idx="61">
                  <c:v>2065</c:v>
                </c:pt>
                <c:pt idx="62">
                  <c:v>2066</c:v>
                </c:pt>
                <c:pt idx="63">
                  <c:v>2067</c:v>
                </c:pt>
                <c:pt idx="64">
                  <c:v>2068</c:v>
                </c:pt>
                <c:pt idx="65">
                  <c:v>2069</c:v>
                </c:pt>
                <c:pt idx="66">
                  <c:v>2070</c:v>
                </c:pt>
                <c:pt idx="67">
                  <c:v>2071</c:v>
                </c:pt>
                <c:pt idx="68">
                  <c:v>2072</c:v>
                </c:pt>
                <c:pt idx="69">
                  <c:v>2073</c:v>
                </c:pt>
                <c:pt idx="70">
                  <c:v>2074</c:v>
                </c:pt>
                <c:pt idx="71">
                  <c:v>2075</c:v>
                </c:pt>
                <c:pt idx="72">
                  <c:v>2076</c:v>
                </c:pt>
                <c:pt idx="73">
                  <c:v>2077</c:v>
                </c:pt>
                <c:pt idx="74">
                  <c:v>2078</c:v>
                </c:pt>
                <c:pt idx="75">
                  <c:v>2079</c:v>
                </c:pt>
                <c:pt idx="76">
                  <c:v>2080</c:v>
                </c:pt>
              </c:numCache>
            </c:numRef>
          </c:xVal>
          <c:yVal>
            <c:numRef>
              <c:f>'Price of Water'!$B$5:$B$81</c:f>
              <c:numCache>
                <c:formatCode>"$"#,##0.00</c:formatCode>
                <c:ptCount val="77"/>
                <c:pt idx="0">
                  <c:v>25.03</c:v>
                </c:pt>
                <c:pt idx="1">
                  <c:v>25.03</c:v>
                </c:pt>
                <c:pt idx="2">
                  <c:v>26.950000000000003</c:v>
                </c:pt>
                <c:pt idx="3">
                  <c:v>29.630000000000003</c:v>
                </c:pt>
                <c:pt idx="4">
                  <c:v>28.919999999999998</c:v>
                </c:pt>
                <c:pt idx="5">
                  <c:v>28.980000000000004</c:v>
                </c:pt>
                <c:pt idx="6">
                  <c:v>28.61</c:v>
                </c:pt>
                <c:pt idx="7">
                  <c:v>30.37</c:v>
                </c:pt>
                <c:pt idx="8">
                  <c:v>31.34</c:v>
                </c:pt>
                <c:pt idx="9">
                  <c:v>34.980000000000004</c:v>
                </c:pt>
                <c:pt idx="10">
                  <c:v>37.480000000000004</c:v>
                </c:pt>
                <c:pt idx="11">
                  <c:v>38.58</c:v>
                </c:pt>
                <c:pt idx="12">
                  <c:v>52.16</c:v>
                </c:pt>
                <c:pt idx="13">
                  <c:v>45.800000000000004</c:v>
                </c:pt>
                <c:pt idx="14">
                  <c:v>54.910000000000004</c:v>
                </c:pt>
                <c:pt idx="15">
                  <c:v>49.873599999999897</c:v>
                </c:pt>
                <c:pt idx="16">
                  <c:v>50.66</c:v>
                </c:pt>
                <c:pt idx="17">
                  <c:v>49.77</c:v>
                </c:pt>
                <c:pt idx="18">
                  <c:v>55.616800000000239</c:v>
                </c:pt>
                <c:pt idx="19">
                  <c:v>57.531199999999899</c:v>
                </c:pt>
                <c:pt idx="20">
                  <c:v>59.445600000000013</c:v>
                </c:pt>
                <c:pt idx="21">
                  <c:v>61.360000000000127</c:v>
                </c:pt>
                <c:pt idx="22">
                  <c:v>63.274400000000242</c:v>
                </c:pt>
                <c:pt idx="23">
                  <c:v>65.188799999999901</c:v>
                </c:pt>
                <c:pt idx="24">
                  <c:v>67.103200000000015</c:v>
                </c:pt>
                <c:pt idx="25">
                  <c:v>69.01760000000013</c:v>
                </c:pt>
                <c:pt idx="26">
                  <c:v>70.932000000000244</c:v>
                </c:pt>
                <c:pt idx="27">
                  <c:v>72.846399999999903</c:v>
                </c:pt>
                <c:pt idx="28">
                  <c:v>74.760800000000017</c:v>
                </c:pt>
                <c:pt idx="29">
                  <c:v>76.675200000000132</c:v>
                </c:pt>
                <c:pt idx="30">
                  <c:v>78.589600000000246</c:v>
                </c:pt>
                <c:pt idx="31">
                  <c:v>80.503999999999905</c:v>
                </c:pt>
                <c:pt idx="32">
                  <c:v>82.41840000000002</c:v>
                </c:pt>
                <c:pt idx="33">
                  <c:v>84.332800000000134</c:v>
                </c:pt>
                <c:pt idx="34">
                  <c:v>86.247200000000248</c:v>
                </c:pt>
                <c:pt idx="35">
                  <c:v>88.161599999999908</c:v>
                </c:pt>
                <c:pt idx="36">
                  <c:v>90.076000000000022</c:v>
                </c:pt>
                <c:pt idx="37">
                  <c:v>91.990400000000136</c:v>
                </c:pt>
                <c:pt idx="38">
                  <c:v>93.90480000000025</c:v>
                </c:pt>
                <c:pt idx="39">
                  <c:v>95.81919999999991</c:v>
                </c:pt>
                <c:pt idx="40">
                  <c:v>97.733600000000024</c:v>
                </c:pt>
                <c:pt idx="41">
                  <c:v>99.648000000000138</c:v>
                </c:pt>
                <c:pt idx="42">
                  <c:v>101.56240000000025</c:v>
                </c:pt>
                <c:pt idx="43">
                  <c:v>103.47679999999991</c:v>
                </c:pt>
                <c:pt idx="44">
                  <c:v>105.39120000000003</c:v>
                </c:pt>
                <c:pt idx="45">
                  <c:v>107.30560000000014</c:v>
                </c:pt>
                <c:pt idx="46">
                  <c:v>109.2199999999998</c:v>
                </c:pt>
                <c:pt idx="47">
                  <c:v>111.13439999999991</c:v>
                </c:pt>
                <c:pt idx="48">
                  <c:v>113.04880000000003</c:v>
                </c:pt>
                <c:pt idx="49">
                  <c:v>114.96320000000014</c:v>
                </c:pt>
                <c:pt idx="50">
                  <c:v>116.8775999999998</c:v>
                </c:pt>
                <c:pt idx="51">
                  <c:v>118.79199999999992</c:v>
                </c:pt>
                <c:pt idx="52">
                  <c:v>120.70640000000003</c:v>
                </c:pt>
                <c:pt idx="53">
                  <c:v>122.62080000000014</c:v>
                </c:pt>
                <c:pt idx="54">
                  <c:v>124.5351999999998</c:v>
                </c:pt>
                <c:pt idx="55">
                  <c:v>126.44959999999992</c:v>
                </c:pt>
                <c:pt idx="56">
                  <c:v>128.36400000000003</c:v>
                </c:pt>
                <c:pt idx="57">
                  <c:v>130.27840000000015</c:v>
                </c:pt>
                <c:pt idx="58">
                  <c:v>132.19279999999981</c:v>
                </c:pt>
                <c:pt idx="59">
                  <c:v>134.10719999999992</c:v>
                </c:pt>
                <c:pt idx="60">
                  <c:v>136.02160000000003</c:v>
                </c:pt>
                <c:pt idx="61">
                  <c:v>137.93600000000015</c:v>
                </c:pt>
                <c:pt idx="62">
                  <c:v>139.85039999999981</c:v>
                </c:pt>
                <c:pt idx="63">
                  <c:v>141.76479999999992</c:v>
                </c:pt>
                <c:pt idx="64">
                  <c:v>143.67920000000004</c:v>
                </c:pt>
                <c:pt idx="65">
                  <c:v>145.59360000000015</c:v>
                </c:pt>
                <c:pt idx="66">
                  <c:v>147.50799999999981</c:v>
                </c:pt>
                <c:pt idx="67">
                  <c:v>149.42239999999993</c:v>
                </c:pt>
                <c:pt idx="68">
                  <c:v>151.33680000000004</c:v>
                </c:pt>
                <c:pt idx="69">
                  <c:v>153.25120000000015</c:v>
                </c:pt>
                <c:pt idx="70">
                  <c:v>155.16559999999981</c:v>
                </c:pt>
                <c:pt idx="71">
                  <c:v>157.07999999999993</c:v>
                </c:pt>
                <c:pt idx="72">
                  <c:v>158.99440000000004</c:v>
                </c:pt>
                <c:pt idx="73">
                  <c:v>160.90880000000016</c:v>
                </c:pt>
                <c:pt idx="74">
                  <c:v>162.82319999999982</c:v>
                </c:pt>
                <c:pt idx="75">
                  <c:v>164.73759999999993</c:v>
                </c:pt>
                <c:pt idx="76">
                  <c:v>166.65200000000004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9E-4F1F-8A4E-BEFA5570439A}"/>
            </c:ext>
          </c:extLst>
        </c:ser>
        <c:ser>
          <c:idx val="2"/>
          <c:order val="2"/>
          <c:tx>
            <c:v>SOD X-Fer Prices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'Price of Water'!$A$13:$A$22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xVal>
          <c:yVal>
            <c:numRef>
              <c:f>'Price of Water'!$C$13:$C$22</c:f>
              <c:numCache>
                <c:formatCode>"$"#,##0.00</c:formatCode>
                <c:ptCount val="10"/>
                <c:pt idx="0">
                  <c:v>154</c:v>
                </c:pt>
                <c:pt idx="1">
                  <c:v>168</c:v>
                </c:pt>
                <c:pt idx="2">
                  <c:v>350</c:v>
                </c:pt>
                <c:pt idx="3">
                  <c:v>665</c:v>
                </c:pt>
                <c:pt idx="8">
                  <c:v>350</c:v>
                </c:pt>
                <c:pt idx="9">
                  <c:v>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9E-4F1F-8A4E-BEFA5570439A}"/>
            </c:ext>
          </c:extLst>
        </c:ser>
        <c:ser>
          <c:idx val="4"/>
          <c:order val="4"/>
          <c:tx>
            <c:v>Relative Cost of Payment</c:v>
          </c:tx>
          <c:spPr>
            <a:ln w="12700" cap="rnd">
              <a:solidFill>
                <a:srgbClr val="00CC00"/>
              </a:solidFill>
              <a:round/>
            </a:ln>
            <a:effectLst/>
          </c:spPr>
          <c:marker>
            <c:symbol val="star"/>
            <c:size val="4"/>
            <c:spPr>
              <a:solidFill>
                <a:srgbClr val="00CC00"/>
              </a:solidFill>
              <a:ln w="9525">
                <a:solidFill>
                  <a:srgbClr val="00CC00"/>
                </a:solidFill>
              </a:ln>
              <a:effectLst/>
            </c:spPr>
          </c:marker>
          <c:xVal>
            <c:numRef>
              <c:f>'Price of Water'!$A$31:$A$81</c:f>
              <c:numCache>
                <c:formatCode>General</c:formatCode>
                <c:ptCount val="51"/>
                <c:pt idx="0">
                  <c:v>2030</c:v>
                </c:pt>
                <c:pt idx="1">
                  <c:v>2031</c:v>
                </c:pt>
                <c:pt idx="2">
                  <c:v>2032</c:v>
                </c:pt>
                <c:pt idx="3">
                  <c:v>2033</c:v>
                </c:pt>
                <c:pt idx="4">
                  <c:v>2034</c:v>
                </c:pt>
                <c:pt idx="5">
                  <c:v>2035</c:v>
                </c:pt>
                <c:pt idx="6">
                  <c:v>2036</c:v>
                </c:pt>
                <c:pt idx="7">
                  <c:v>2037</c:v>
                </c:pt>
                <c:pt idx="8">
                  <c:v>2038</c:v>
                </c:pt>
                <c:pt idx="9">
                  <c:v>2039</c:v>
                </c:pt>
                <c:pt idx="10">
                  <c:v>2040</c:v>
                </c:pt>
                <c:pt idx="11">
                  <c:v>2041</c:v>
                </c:pt>
                <c:pt idx="12">
                  <c:v>2042</c:v>
                </c:pt>
                <c:pt idx="13">
                  <c:v>2043</c:v>
                </c:pt>
                <c:pt idx="14">
                  <c:v>2044</c:v>
                </c:pt>
                <c:pt idx="15">
                  <c:v>2045</c:v>
                </c:pt>
                <c:pt idx="16">
                  <c:v>2046</c:v>
                </c:pt>
                <c:pt idx="17">
                  <c:v>2047</c:v>
                </c:pt>
                <c:pt idx="18">
                  <c:v>2048</c:v>
                </c:pt>
                <c:pt idx="19">
                  <c:v>2049</c:v>
                </c:pt>
                <c:pt idx="20">
                  <c:v>2050</c:v>
                </c:pt>
                <c:pt idx="21">
                  <c:v>2051</c:v>
                </c:pt>
                <c:pt idx="22">
                  <c:v>2052</c:v>
                </c:pt>
                <c:pt idx="23">
                  <c:v>2053</c:v>
                </c:pt>
                <c:pt idx="24">
                  <c:v>2054</c:v>
                </c:pt>
                <c:pt idx="25">
                  <c:v>2055</c:v>
                </c:pt>
                <c:pt idx="26">
                  <c:v>2056</c:v>
                </c:pt>
                <c:pt idx="27">
                  <c:v>2057</c:v>
                </c:pt>
                <c:pt idx="28">
                  <c:v>2058</c:v>
                </c:pt>
                <c:pt idx="29">
                  <c:v>2059</c:v>
                </c:pt>
                <c:pt idx="30">
                  <c:v>2060</c:v>
                </c:pt>
                <c:pt idx="31">
                  <c:v>2061</c:v>
                </c:pt>
                <c:pt idx="32">
                  <c:v>2062</c:v>
                </c:pt>
                <c:pt idx="33">
                  <c:v>2063</c:v>
                </c:pt>
                <c:pt idx="34">
                  <c:v>2064</c:v>
                </c:pt>
                <c:pt idx="35">
                  <c:v>2065</c:v>
                </c:pt>
                <c:pt idx="36">
                  <c:v>2066</c:v>
                </c:pt>
                <c:pt idx="37">
                  <c:v>2067</c:v>
                </c:pt>
                <c:pt idx="38">
                  <c:v>2068</c:v>
                </c:pt>
                <c:pt idx="39">
                  <c:v>2069</c:v>
                </c:pt>
                <c:pt idx="40">
                  <c:v>2070</c:v>
                </c:pt>
                <c:pt idx="41">
                  <c:v>2071</c:v>
                </c:pt>
                <c:pt idx="42">
                  <c:v>2072</c:v>
                </c:pt>
                <c:pt idx="43">
                  <c:v>2073</c:v>
                </c:pt>
                <c:pt idx="44">
                  <c:v>2074</c:v>
                </c:pt>
                <c:pt idx="45">
                  <c:v>2075</c:v>
                </c:pt>
                <c:pt idx="46">
                  <c:v>2076</c:v>
                </c:pt>
                <c:pt idx="47">
                  <c:v>2077</c:v>
                </c:pt>
                <c:pt idx="48">
                  <c:v>2078</c:v>
                </c:pt>
                <c:pt idx="49">
                  <c:v>2079</c:v>
                </c:pt>
                <c:pt idx="50">
                  <c:v>2080</c:v>
                </c:pt>
              </c:numCache>
            </c:numRef>
          </c:xVal>
          <c:yVal>
            <c:numRef>
              <c:f>'Price of Water'!$G$31:$G$81</c:f>
              <c:numCache>
                <c:formatCode>"$"#,##0.00</c:formatCode>
                <c:ptCount val="51"/>
                <c:pt idx="0">
                  <c:v>619.70494224999504</c:v>
                </c:pt>
                <c:pt idx="1">
                  <c:v>610.55147906435184</c:v>
                </c:pt>
                <c:pt idx="2">
                  <c:v>601.66448568356986</c:v>
                </c:pt>
                <c:pt idx="3">
                  <c:v>593.03249309742159</c:v>
                </c:pt>
                <c:pt idx="4">
                  <c:v>584.64468116333478</c:v>
                </c:pt>
                <c:pt idx="5">
                  <c:v>576.49083335866953</c:v>
                </c:pt>
                <c:pt idx="6">
                  <c:v>568.56129526724658</c:v>
                </c:pt>
                <c:pt idx="7">
                  <c:v>560.84693644545553</c:v>
                </c:pt>
                <c:pt idx="8">
                  <c:v>553.33911535125753</c:v>
                </c:pt>
                <c:pt idx="9">
                  <c:v>546.02964705286081</c:v>
                </c:pt>
                <c:pt idx="10">
                  <c:v>538.91077346339023</c:v>
                </c:pt>
                <c:pt idx="11">
                  <c:v>531.97513587398691</c:v>
                </c:pt>
                <c:pt idx="12">
                  <c:v>525.21574958091003</c:v>
                </c:pt>
                <c:pt idx="13">
                  <c:v>518.62598042272634</c:v>
                </c:pt>
                <c:pt idx="14">
                  <c:v>512.19952306191226</c:v>
                </c:pt>
                <c:pt idx="15">
                  <c:v>505.93038086140734</c:v>
                </c:pt>
                <c:pt idx="16">
                  <c:v>499.81284722112383</c:v>
                </c:pt>
                <c:pt idx="17">
                  <c:v>493.84148825231193</c:v>
                </c:pt>
                <c:pt idx="18">
                  <c:v>488.0111266792195</c:v>
                </c:pt>
                <c:pt idx="19">
                  <c:v>482.31682686780067</c:v>
                </c:pt>
                <c:pt idx="20">
                  <c:v>476.75388089048016</c:v>
                </c:pt>
                <c:pt idx="21">
                  <c:v>471.31779554427834</c:v>
                </c:pt>
                <c:pt idx="22">
                  <c:v>466.00428024706287</c:v>
                </c:pt>
                <c:pt idx="23">
                  <c:v>460.80923574340011</c:v>
                </c:pt>
                <c:pt idx="24">
                  <c:v>455.72874355752481</c:v>
                </c:pt>
                <c:pt idx="25">
                  <c:v>450.75905613639708</c:v>
                </c:pt>
                <c:pt idx="26">
                  <c:v>445.89658763073754</c:v>
                </c:pt>
                <c:pt idx="27">
                  <c:v>441.13790526638064</c:v>
                </c:pt>
                <c:pt idx="28">
                  <c:v>436.4797212623119</c:v>
                </c:pt>
                <c:pt idx="29">
                  <c:v>431.91888525540151</c:v>
                </c:pt>
                <c:pt idx="30">
                  <c:v>400.7366036204603</c:v>
                </c:pt>
                <c:pt idx="31">
                  <c:v>396.63496938264592</c:v>
                </c:pt>
                <c:pt idx="32">
                  <c:v>392.61644687612363</c:v>
                </c:pt>
                <c:pt idx="33">
                  <c:v>388.67853528882375</c:v>
                </c:pt>
                <c:pt idx="34">
                  <c:v>384.81883314413079</c:v>
                </c:pt>
                <c:pt idx="35">
                  <c:v>381.03503341721574</c:v>
                </c:pt>
                <c:pt idx="36">
                  <c:v>377.32491893668015</c:v>
                </c:pt>
                <c:pt idx="37">
                  <c:v>373.68635805225301</c:v>
                </c:pt>
                <c:pt idx="38">
                  <c:v>370.11730055075327</c:v>
                </c:pt>
                <c:pt idx="39">
                  <c:v>366.61577380387678</c:v>
                </c:pt>
                <c:pt idx="40">
                  <c:v>24.211991942173242</c:v>
                </c:pt>
                <c:pt idx="41">
                  <c:v>23.987185891607552</c:v>
                </c:pt>
                <c:pt idx="42">
                  <c:v>23.766516042551245</c:v>
                </c:pt>
                <c:pt idx="43">
                  <c:v>23.549869282760184</c:v>
                </c:pt>
                <c:pt idx="44">
                  <c:v>23.337136587091099</c:v>
                </c:pt>
                <c:pt idx="45">
                  <c:v>23.12821283455439</c:v>
                </c:pt>
                <c:pt idx="46">
                  <c:v>22.92299663510677</c:v>
                </c:pt>
                <c:pt idx="47">
                  <c:v>22.721390165583916</c:v>
                </c:pt>
                <c:pt idx="48">
                  <c:v>22.523299014215461</c:v>
                </c:pt>
                <c:pt idx="49">
                  <c:v>22.328632033203025</c:v>
                </c:pt>
                <c:pt idx="50">
                  <c:v>22.137301198877704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9E-4F1F-8A4E-BEFA5570439A}"/>
            </c:ext>
          </c:extLst>
        </c:ser>
        <c:ser>
          <c:idx val="5"/>
          <c:order val="5"/>
          <c:tx>
            <c:v>In Basin X-Fers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'Price of Water'!$A$5:$A$22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xVal>
          <c:yVal>
            <c:numRef>
              <c:f>'Price of Water'!$D$5:$D$22</c:f>
              <c:numCache>
                <c:formatCode>"$"#,##0.00</c:formatCode>
                <c:ptCount val="18"/>
                <c:pt idx="5">
                  <c:v>91.98</c:v>
                </c:pt>
                <c:pt idx="10">
                  <c:v>362.48</c:v>
                </c:pt>
                <c:pt idx="11">
                  <c:v>438.58</c:v>
                </c:pt>
                <c:pt idx="13">
                  <c:v>58.269999999999996</c:v>
                </c:pt>
                <c:pt idx="14">
                  <c:v>58.8</c:v>
                </c:pt>
                <c:pt idx="17">
                  <c:v>312.5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9E-4F1F-8A4E-BEFA5570439A}"/>
            </c:ext>
          </c:extLst>
        </c:ser>
        <c:ser>
          <c:idx val="6"/>
          <c:order val="6"/>
          <c:tx>
            <c:v>YCWA Prices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('Price of Water'!$A$9:$A$11,'Price of Water'!$A$14:$A$16)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xVal>
          <c:yVal>
            <c:numRef>
              <c:f>('Price of Water'!$H$9:$H$11,'Price of Water'!$H$14:$H$16)</c:f>
              <c:numCache>
                <c:formatCode>"$"#,##0.00</c:formatCode>
                <c:ptCount val="6"/>
                <c:pt idx="0">
                  <c:v>125</c:v>
                </c:pt>
                <c:pt idx="1">
                  <c:v>250</c:v>
                </c:pt>
                <c:pt idx="2">
                  <c:v>200</c:v>
                </c:pt>
                <c:pt idx="3">
                  <c:v>200</c:v>
                </c:pt>
                <c:pt idx="4">
                  <c:v>500</c:v>
                </c:pt>
                <c:pt idx="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9E-4F1F-8A4E-BEFA5570439A}"/>
            </c:ext>
          </c:extLst>
        </c:ser>
        <c:ser>
          <c:idx val="7"/>
          <c:order val="7"/>
          <c:tx>
            <c:v>Average Water X-Fer Price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dash"/>
              </a:ln>
              <a:effectLst/>
            </c:spPr>
            <c:trendlineType val="linear"/>
            <c:forward val="60"/>
            <c:dispRSqr val="0"/>
            <c:dispEq val="0"/>
          </c:trendline>
          <c:xVal>
            <c:numRef>
              <c:f>'Price of Water'!$A$7:$A$19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xVal>
          <c:yVal>
            <c:numRef>
              <c:f>'Price of Water'!$O$7:$O$19</c:f>
              <c:numCache>
                <c:formatCode>"$"#,##0.00</c:formatCode>
                <c:ptCount val="13"/>
                <c:pt idx="0">
                  <c:v>75</c:v>
                </c:pt>
                <c:pt idx="1">
                  <c:v>149</c:v>
                </c:pt>
                <c:pt idx="2">
                  <c:v>175</c:v>
                </c:pt>
                <c:pt idx="3">
                  <c:v>203.99333333333334</c:v>
                </c:pt>
                <c:pt idx="4">
                  <c:v>190</c:v>
                </c:pt>
                <c:pt idx="5">
                  <c:v>75</c:v>
                </c:pt>
                <c:pt idx="6">
                  <c:v>152</c:v>
                </c:pt>
                <c:pt idx="7">
                  <c:v>177.66666666666666</c:v>
                </c:pt>
                <c:pt idx="8">
                  <c:v>344.70349999999996</c:v>
                </c:pt>
                <c:pt idx="9">
                  <c:v>492.76125000000002</c:v>
                </c:pt>
                <c:pt idx="10">
                  <c:v>168.596</c:v>
                </c:pt>
                <c:pt idx="11">
                  <c:v>113.99849999999992</c:v>
                </c:pt>
                <c:pt idx="12">
                  <c:v>209.88600000000005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9E-4F1F-8A4E-BEFA5570439A}"/>
            </c:ext>
          </c:extLst>
        </c:ser>
        <c:ser>
          <c:idx val="8"/>
          <c:order val="8"/>
          <c:tx>
            <c:v>Price of Sites Water</c:v>
          </c:tx>
          <c:spPr>
            <a:ln w="127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'Price of Water'!$J$34:$J$39</c:f>
              <c:numCache>
                <c:formatCode>General</c:formatCode>
                <c:ptCount val="6"/>
                <c:pt idx="0">
                  <c:v>2030</c:v>
                </c:pt>
                <c:pt idx="1">
                  <c:v>2031</c:v>
                </c:pt>
                <c:pt idx="2">
                  <c:v>2059</c:v>
                </c:pt>
                <c:pt idx="3">
                  <c:v>2060</c:v>
                </c:pt>
                <c:pt idx="4">
                  <c:v>2069</c:v>
                </c:pt>
                <c:pt idx="5">
                  <c:v>2070</c:v>
                </c:pt>
              </c:numCache>
            </c:numRef>
          </c:xVal>
          <c:yVal>
            <c:numRef>
              <c:f>'Price of Water'!$M$34:$M$39</c:f>
              <c:numCache>
                <c:formatCode>"$"#,##0.00</c:formatCode>
                <c:ptCount val="6"/>
                <c:pt idx="0">
                  <c:v>800</c:v>
                </c:pt>
                <c:pt idx="1">
                  <c:v>800</c:v>
                </c:pt>
                <c:pt idx="2">
                  <c:v>800</c:v>
                </c:pt>
                <c:pt idx="3">
                  <c:v>750</c:v>
                </c:pt>
                <c:pt idx="4">
                  <c:v>750</c:v>
                </c:pt>
                <c:pt idx="5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9E-4F1F-8A4E-BEFA55704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484256"/>
        <c:axId val="439483864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Water Market Trendline</c:v>
                </c:tx>
                <c:spPr>
                  <a:ln w="1270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square"/>
                  <c:size val="4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linear"/>
                  <c:dispRSqr val="0"/>
                  <c:dispEq val="0"/>
                </c:trendline>
                <c:xVal>
                  <c:numRef>
                    <c:extLst>
                      <c:ext uri="{02D57815-91ED-43cb-92C2-25804820EDAC}">
                        <c15:formulaRef>
                          <c15:sqref>'Price of Water'!$A$7:$A$81</c15:sqref>
                        </c15:formulaRef>
                      </c:ext>
                    </c:extLst>
                    <c:numCache>
                      <c:formatCode>General</c:formatCode>
                      <c:ptCount val="75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  <c:pt idx="13">
                        <c:v>2019</c:v>
                      </c:pt>
                      <c:pt idx="14">
                        <c:v>2020</c:v>
                      </c:pt>
                      <c:pt idx="15">
                        <c:v>2021</c:v>
                      </c:pt>
                      <c:pt idx="16">
                        <c:v>2022</c:v>
                      </c:pt>
                      <c:pt idx="17">
                        <c:v>2023</c:v>
                      </c:pt>
                      <c:pt idx="18">
                        <c:v>2024</c:v>
                      </c:pt>
                      <c:pt idx="19">
                        <c:v>2025</c:v>
                      </c:pt>
                      <c:pt idx="20">
                        <c:v>2026</c:v>
                      </c:pt>
                      <c:pt idx="21">
                        <c:v>2027</c:v>
                      </c:pt>
                      <c:pt idx="22">
                        <c:v>2028</c:v>
                      </c:pt>
                      <c:pt idx="23">
                        <c:v>2029</c:v>
                      </c:pt>
                      <c:pt idx="24">
                        <c:v>2030</c:v>
                      </c:pt>
                      <c:pt idx="25">
                        <c:v>2031</c:v>
                      </c:pt>
                      <c:pt idx="26">
                        <c:v>2032</c:v>
                      </c:pt>
                      <c:pt idx="27">
                        <c:v>2033</c:v>
                      </c:pt>
                      <c:pt idx="28">
                        <c:v>2034</c:v>
                      </c:pt>
                      <c:pt idx="29">
                        <c:v>2035</c:v>
                      </c:pt>
                      <c:pt idx="30">
                        <c:v>2036</c:v>
                      </c:pt>
                      <c:pt idx="31">
                        <c:v>2037</c:v>
                      </c:pt>
                      <c:pt idx="32">
                        <c:v>2038</c:v>
                      </c:pt>
                      <c:pt idx="33">
                        <c:v>2039</c:v>
                      </c:pt>
                      <c:pt idx="34">
                        <c:v>2040</c:v>
                      </c:pt>
                      <c:pt idx="35">
                        <c:v>2041</c:v>
                      </c:pt>
                      <c:pt idx="36">
                        <c:v>2042</c:v>
                      </c:pt>
                      <c:pt idx="37">
                        <c:v>2043</c:v>
                      </c:pt>
                      <c:pt idx="38">
                        <c:v>2044</c:v>
                      </c:pt>
                      <c:pt idx="39">
                        <c:v>2045</c:v>
                      </c:pt>
                      <c:pt idx="40">
                        <c:v>2046</c:v>
                      </c:pt>
                      <c:pt idx="41">
                        <c:v>2047</c:v>
                      </c:pt>
                      <c:pt idx="42">
                        <c:v>2048</c:v>
                      </c:pt>
                      <c:pt idx="43">
                        <c:v>2049</c:v>
                      </c:pt>
                      <c:pt idx="44">
                        <c:v>2050</c:v>
                      </c:pt>
                      <c:pt idx="45">
                        <c:v>2051</c:v>
                      </c:pt>
                      <c:pt idx="46">
                        <c:v>2052</c:v>
                      </c:pt>
                      <c:pt idx="47">
                        <c:v>2053</c:v>
                      </c:pt>
                      <c:pt idx="48">
                        <c:v>2054</c:v>
                      </c:pt>
                      <c:pt idx="49">
                        <c:v>2055</c:v>
                      </c:pt>
                      <c:pt idx="50">
                        <c:v>2056</c:v>
                      </c:pt>
                      <c:pt idx="51">
                        <c:v>2057</c:v>
                      </c:pt>
                      <c:pt idx="52">
                        <c:v>2058</c:v>
                      </c:pt>
                      <c:pt idx="53">
                        <c:v>2059</c:v>
                      </c:pt>
                      <c:pt idx="54">
                        <c:v>2060</c:v>
                      </c:pt>
                      <c:pt idx="55">
                        <c:v>2061</c:v>
                      </c:pt>
                      <c:pt idx="56">
                        <c:v>2062</c:v>
                      </c:pt>
                      <c:pt idx="57">
                        <c:v>2063</c:v>
                      </c:pt>
                      <c:pt idx="58">
                        <c:v>2064</c:v>
                      </c:pt>
                      <c:pt idx="59">
                        <c:v>2065</c:v>
                      </c:pt>
                      <c:pt idx="60">
                        <c:v>2066</c:v>
                      </c:pt>
                      <c:pt idx="61">
                        <c:v>2067</c:v>
                      </c:pt>
                      <c:pt idx="62">
                        <c:v>2068</c:v>
                      </c:pt>
                      <c:pt idx="63">
                        <c:v>2069</c:v>
                      </c:pt>
                      <c:pt idx="64">
                        <c:v>2070</c:v>
                      </c:pt>
                      <c:pt idx="65">
                        <c:v>2071</c:v>
                      </c:pt>
                      <c:pt idx="66">
                        <c:v>2072</c:v>
                      </c:pt>
                      <c:pt idx="67">
                        <c:v>2073</c:v>
                      </c:pt>
                      <c:pt idx="68">
                        <c:v>2074</c:v>
                      </c:pt>
                      <c:pt idx="69">
                        <c:v>2075</c:v>
                      </c:pt>
                      <c:pt idx="70">
                        <c:v>2076</c:v>
                      </c:pt>
                      <c:pt idx="71">
                        <c:v>2077</c:v>
                      </c:pt>
                      <c:pt idx="72">
                        <c:v>2078</c:v>
                      </c:pt>
                      <c:pt idx="73">
                        <c:v>2079</c:v>
                      </c:pt>
                      <c:pt idx="74">
                        <c:v>2080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'Price of Water'!$E$7:$E$81</c15:sqref>
                        </c15:formulaRef>
                      </c:ext>
                    </c:extLst>
                    <c:numCache>
                      <c:formatCode>"$"#,##0.00</c:formatCode>
                      <c:ptCount val="75"/>
                      <c:pt idx="0">
                        <c:v>75</c:v>
                      </c:pt>
                      <c:pt idx="1">
                        <c:v>149</c:v>
                      </c:pt>
                      <c:pt idx="2">
                        <c:v>225</c:v>
                      </c:pt>
                      <c:pt idx="3">
                        <c:v>270</c:v>
                      </c:pt>
                      <c:pt idx="4">
                        <c:v>180</c:v>
                      </c:pt>
                      <c:pt idx="5">
                        <c:v>75</c:v>
                      </c:pt>
                      <c:pt idx="6">
                        <c:v>150</c:v>
                      </c:pt>
                      <c:pt idx="7">
                        <c:v>165</c:v>
                      </c:pt>
                      <c:pt idx="8">
                        <c:v>166.33399999999983</c:v>
                      </c:pt>
                      <c:pt idx="9">
                        <c:v>167.46500000000015</c:v>
                      </c:pt>
                      <c:pt idx="10">
                        <c:v>168.596</c:v>
                      </c:pt>
                      <c:pt idx="11">
                        <c:v>169.72699999999986</c:v>
                      </c:pt>
                      <c:pt idx="12">
                        <c:v>170.85800000000017</c:v>
                      </c:pt>
                      <c:pt idx="13">
                        <c:v>171.98900000000003</c:v>
                      </c:pt>
                      <c:pt idx="14">
                        <c:v>173.11999999999989</c:v>
                      </c:pt>
                      <c:pt idx="15">
                        <c:v>174.2510000000002</c:v>
                      </c:pt>
                      <c:pt idx="16">
                        <c:v>175.38200000000006</c:v>
                      </c:pt>
                      <c:pt idx="17">
                        <c:v>176.51299999999992</c:v>
                      </c:pt>
                      <c:pt idx="18">
                        <c:v>177.64400000000023</c:v>
                      </c:pt>
                      <c:pt idx="19">
                        <c:v>178.77500000000009</c:v>
                      </c:pt>
                      <c:pt idx="20">
                        <c:v>179.90599999999995</c:v>
                      </c:pt>
                      <c:pt idx="21">
                        <c:v>181.03699999999981</c:v>
                      </c:pt>
                      <c:pt idx="22">
                        <c:v>182.16800000000012</c:v>
                      </c:pt>
                      <c:pt idx="23">
                        <c:v>183.29899999999998</c:v>
                      </c:pt>
                      <c:pt idx="24">
                        <c:v>184.42999999999984</c:v>
                      </c:pt>
                      <c:pt idx="25">
                        <c:v>185.56100000000015</c:v>
                      </c:pt>
                      <c:pt idx="26">
                        <c:v>186.69200000000001</c:v>
                      </c:pt>
                      <c:pt idx="27">
                        <c:v>187.82299999999987</c:v>
                      </c:pt>
                      <c:pt idx="28">
                        <c:v>188.95400000000018</c:v>
                      </c:pt>
                      <c:pt idx="29">
                        <c:v>190.08500000000004</c:v>
                      </c:pt>
                      <c:pt idx="30">
                        <c:v>191.21599999999989</c:v>
                      </c:pt>
                      <c:pt idx="31">
                        <c:v>192.34700000000021</c:v>
                      </c:pt>
                      <c:pt idx="32">
                        <c:v>193.47800000000007</c:v>
                      </c:pt>
                      <c:pt idx="33">
                        <c:v>194.60899999999992</c:v>
                      </c:pt>
                      <c:pt idx="34">
                        <c:v>195.74000000000024</c:v>
                      </c:pt>
                      <c:pt idx="35">
                        <c:v>196.87100000000009</c:v>
                      </c:pt>
                      <c:pt idx="36">
                        <c:v>198.00199999999995</c:v>
                      </c:pt>
                      <c:pt idx="37">
                        <c:v>199.13299999999981</c:v>
                      </c:pt>
                      <c:pt idx="38">
                        <c:v>200.26400000000012</c:v>
                      </c:pt>
                      <c:pt idx="39">
                        <c:v>201.39499999999998</c:v>
                      </c:pt>
                      <c:pt idx="40">
                        <c:v>202.52599999999984</c:v>
                      </c:pt>
                      <c:pt idx="41">
                        <c:v>203.65700000000015</c:v>
                      </c:pt>
                      <c:pt idx="42">
                        <c:v>204.78800000000001</c:v>
                      </c:pt>
                      <c:pt idx="43">
                        <c:v>205.91899999999987</c:v>
                      </c:pt>
                      <c:pt idx="44">
                        <c:v>207.05000000000018</c:v>
                      </c:pt>
                      <c:pt idx="45">
                        <c:v>208.18100000000004</c:v>
                      </c:pt>
                      <c:pt idx="46">
                        <c:v>209.3119999999999</c:v>
                      </c:pt>
                      <c:pt idx="47">
                        <c:v>210.44300000000021</c:v>
                      </c:pt>
                      <c:pt idx="48">
                        <c:v>211.57400000000007</c:v>
                      </c:pt>
                      <c:pt idx="49">
                        <c:v>212.70499999999993</c:v>
                      </c:pt>
                      <c:pt idx="50">
                        <c:v>213.83599999999979</c:v>
                      </c:pt>
                      <c:pt idx="51">
                        <c:v>214.9670000000001</c:v>
                      </c:pt>
                      <c:pt idx="52">
                        <c:v>216.09799999999996</c:v>
                      </c:pt>
                      <c:pt idx="53">
                        <c:v>217.22899999999981</c:v>
                      </c:pt>
                      <c:pt idx="54">
                        <c:v>218.36000000000013</c:v>
                      </c:pt>
                      <c:pt idx="55">
                        <c:v>219.49099999999999</c:v>
                      </c:pt>
                      <c:pt idx="56">
                        <c:v>220.62199999999984</c:v>
                      </c:pt>
                      <c:pt idx="57">
                        <c:v>221.75300000000016</c:v>
                      </c:pt>
                      <c:pt idx="58">
                        <c:v>222.88400000000001</c:v>
                      </c:pt>
                      <c:pt idx="59">
                        <c:v>224.01499999999987</c:v>
                      </c:pt>
                      <c:pt idx="60">
                        <c:v>225.14600000000019</c:v>
                      </c:pt>
                      <c:pt idx="61">
                        <c:v>226.27700000000004</c:v>
                      </c:pt>
                      <c:pt idx="62">
                        <c:v>227.4079999999999</c:v>
                      </c:pt>
                      <c:pt idx="63">
                        <c:v>228.53900000000021</c:v>
                      </c:pt>
                      <c:pt idx="64">
                        <c:v>229.67000000000007</c:v>
                      </c:pt>
                      <c:pt idx="65">
                        <c:v>230.80099999999993</c:v>
                      </c:pt>
                      <c:pt idx="66">
                        <c:v>231.93199999999979</c:v>
                      </c:pt>
                      <c:pt idx="67">
                        <c:v>233.0630000000001</c:v>
                      </c:pt>
                      <c:pt idx="68">
                        <c:v>234.19399999999996</c:v>
                      </c:pt>
                      <c:pt idx="69">
                        <c:v>235.32499999999982</c:v>
                      </c:pt>
                      <c:pt idx="70">
                        <c:v>236.45600000000013</c:v>
                      </c:pt>
                      <c:pt idx="71">
                        <c:v>237.58699999999999</c:v>
                      </c:pt>
                      <c:pt idx="72">
                        <c:v>238.71799999999985</c:v>
                      </c:pt>
                      <c:pt idx="73">
                        <c:v>239.84900000000016</c:v>
                      </c:pt>
                      <c:pt idx="74">
                        <c:v>240.98000000000002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A-639E-4F1F-8A4E-BEFA5570439A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CPI Trend of $100 from 2015</c:v>
                </c:tx>
                <c:spPr>
                  <a:ln w="952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triangle"/>
                  <c:size val="3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'Price of Water'!$A$16:$A$81</c15:sqref>
                        </c15:formulaRef>
                      </c:ext>
                    </c:extLst>
                    <c:numCache>
                      <c:formatCode>General</c:formatCode>
                      <c:ptCount val="6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  <c:pt idx="19">
                        <c:v>2034</c:v>
                      </c:pt>
                      <c:pt idx="20">
                        <c:v>2035</c:v>
                      </c:pt>
                      <c:pt idx="21">
                        <c:v>2036</c:v>
                      </c:pt>
                      <c:pt idx="22">
                        <c:v>2037</c:v>
                      </c:pt>
                      <c:pt idx="23">
                        <c:v>2038</c:v>
                      </c:pt>
                      <c:pt idx="24">
                        <c:v>2039</c:v>
                      </c:pt>
                      <c:pt idx="25">
                        <c:v>2040</c:v>
                      </c:pt>
                      <c:pt idx="26">
                        <c:v>2041</c:v>
                      </c:pt>
                      <c:pt idx="27">
                        <c:v>2042</c:v>
                      </c:pt>
                      <c:pt idx="28">
                        <c:v>2043</c:v>
                      </c:pt>
                      <c:pt idx="29">
                        <c:v>2044</c:v>
                      </c:pt>
                      <c:pt idx="30">
                        <c:v>2045</c:v>
                      </c:pt>
                      <c:pt idx="31">
                        <c:v>2046</c:v>
                      </c:pt>
                      <c:pt idx="32">
                        <c:v>2047</c:v>
                      </c:pt>
                      <c:pt idx="33">
                        <c:v>2048</c:v>
                      </c:pt>
                      <c:pt idx="34">
                        <c:v>2049</c:v>
                      </c:pt>
                      <c:pt idx="35">
                        <c:v>2050</c:v>
                      </c:pt>
                      <c:pt idx="36">
                        <c:v>2051</c:v>
                      </c:pt>
                      <c:pt idx="37">
                        <c:v>2052</c:v>
                      </c:pt>
                      <c:pt idx="38">
                        <c:v>2053</c:v>
                      </c:pt>
                      <c:pt idx="39">
                        <c:v>2054</c:v>
                      </c:pt>
                      <c:pt idx="40">
                        <c:v>2055</c:v>
                      </c:pt>
                      <c:pt idx="41">
                        <c:v>2056</c:v>
                      </c:pt>
                      <c:pt idx="42">
                        <c:v>2057</c:v>
                      </c:pt>
                      <c:pt idx="43">
                        <c:v>2058</c:v>
                      </c:pt>
                      <c:pt idx="44">
                        <c:v>2059</c:v>
                      </c:pt>
                      <c:pt idx="45">
                        <c:v>2060</c:v>
                      </c:pt>
                      <c:pt idx="46">
                        <c:v>2061</c:v>
                      </c:pt>
                      <c:pt idx="47">
                        <c:v>2062</c:v>
                      </c:pt>
                      <c:pt idx="48">
                        <c:v>2063</c:v>
                      </c:pt>
                      <c:pt idx="49">
                        <c:v>2064</c:v>
                      </c:pt>
                      <c:pt idx="50">
                        <c:v>2065</c:v>
                      </c:pt>
                      <c:pt idx="51">
                        <c:v>2066</c:v>
                      </c:pt>
                      <c:pt idx="52">
                        <c:v>2067</c:v>
                      </c:pt>
                      <c:pt idx="53">
                        <c:v>2068</c:v>
                      </c:pt>
                      <c:pt idx="54">
                        <c:v>2069</c:v>
                      </c:pt>
                      <c:pt idx="55">
                        <c:v>2070</c:v>
                      </c:pt>
                      <c:pt idx="56">
                        <c:v>2071</c:v>
                      </c:pt>
                      <c:pt idx="57">
                        <c:v>2072</c:v>
                      </c:pt>
                      <c:pt idx="58">
                        <c:v>2073</c:v>
                      </c:pt>
                      <c:pt idx="59">
                        <c:v>2074</c:v>
                      </c:pt>
                      <c:pt idx="60">
                        <c:v>2075</c:v>
                      </c:pt>
                      <c:pt idx="61">
                        <c:v>2076</c:v>
                      </c:pt>
                      <c:pt idx="62">
                        <c:v>2077</c:v>
                      </c:pt>
                      <c:pt idx="63">
                        <c:v>2078</c:v>
                      </c:pt>
                      <c:pt idx="64">
                        <c:v>2079</c:v>
                      </c:pt>
                      <c:pt idx="65">
                        <c:v>2080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'Price of Water'!$F$16:$F$81</c15:sqref>
                        </c15:formulaRef>
                      </c:ext>
                    </c:extLst>
                    <c:numCache>
                      <c:formatCode>"$"#,##0.00</c:formatCode>
                      <c:ptCount val="66"/>
                      <c:pt idx="0">
                        <c:v>100</c:v>
                      </c:pt>
                      <c:pt idx="1">
                        <c:v>101.26151288726126</c:v>
                      </c:pt>
                      <c:pt idx="2">
                        <c:v>103.41874211554445</c:v>
                      </c:pt>
                      <c:pt idx="3">
                        <c:v>105.86903049148376</c:v>
                      </c:pt>
                      <c:pt idx="4">
                        <c:v>107.8044190923014</c:v>
                      </c:pt>
                      <c:pt idx="5">
                        <c:v>109.73980769311909</c:v>
                      </c:pt>
                      <c:pt idx="6">
                        <c:v>111.67519629393674</c:v>
                      </c:pt>
                      <c:pt idx="7">
                        <c:v>113.6105848947544</c:v>
                      </c:pt>
                      <c:pt idx="8">
                        <c:v>115.54597349557206</c:v>
                      </c:pt>
                      <c:pt idx="9">
                        <c:v>117.48136209638973</c:v>
                      </c:pt>
                      <c:pt idx="10">
                        <c:v>119.41675069720739</c:v>
                      </c:pt>
                      <c:pt idx="11">
                        <c:v>121.35213929802504</c:v>
                      </c:pt>
                      <c:pt idx="12">
                        <c:v>123.2875278988427</c:v>
                      </c:pt>
                      <c:pt idx="13">
                        <c:v>125.2229164996604</c:v>
                      </c:pt>
                      <c:pt idx="14">
                        <c:v>127.15830510047806</c:v>
                      </c:pt>
                      <c:pt idx="15">
                        <c:v>129.09369370129571</c:v>
                      </c:pt>
                      <c:pt idx="16">
                        <c:v>131.02908230211335</c:v>
                      </c:pt>
                      <c:pt idx="17">
                        <c:v>132.96447090293105</c:v>
                      </c:pt>
                      <c:pt idx="18">
                        <c:v>134.8998595037487</c:v>
                      </c:pt>
                      <c:pt idx="19">
                        <c:v>136.83524810456635</c:v>
                      </c:pt>
                      <c:pt idx="20">
                        <c:v>138.77063670538402</c:v>
                      </c:pt>
                      <c:pt idx="21">
                        <c:v>140.70602530620167</c:v>
                      </c:pt>
                      <c:pt idx="22">
                        <c:v>142.64141390701934</c:v>
                      </c:pt>
                      <c:pt idx="23">
                        <c:v>144.57680250783699</c:v>
                      </c:pt>
                      <c:pt idx="24">
                        <c:v>146.51219110865466</c:v>
                      </c:pt>
                      <c:pt idx="25">
                        <c:v>148.44757970947231</c:v>
                      </c:pt>
                      <c:pt idx="26">
                        <c:v>150.38296831029001</c:v>
                      </c:pt>
                      <c:pt idx="27">
                        <c:v>152.31835691110766</c:v>
                      </c:pt>
                      <c:pt idx="28">
                        <c:v>154.25374551192533</c:v>
                      </c:pt>
                      <c:pt idx="29">
                        <c:v>156.18913411274298</c:v>
                      </c:pt>
                      <c:pt idx="30">
                        <c:v>158.12452271356065</c:v>
                      </c:pt>
                      <c:pt idx="31">
                        <c:v>160.05991131437833</c:v>
                      </c:pt>
                      <c:pt idx="32">
                        <c:v>161.99529991519597</c:v>
                      </c:pt>
                      <c:pt idx="33">
                        <c:v>163.93068851601362</c:v>
                      </c:pt>
                      <c:pt idx="34">
                        <c:v>165.86607711683129</c:v>
                      </c:pt>
                      <c:pt idx="35">
                        <c:v>167.80146571764897</c:v>
                      </c:pt>
                      <c:pt idx="36">
                        <c:v>169.73685431846661</c:v>
                      </c:pt>
                      <c:pt idx="37">
                        <c:v>171.67224291928426</c:v>
                      </c:pt>
                      <c:pt idx="38">
                        <c:v>173.60763152010193</c:v>
                      </c:pt>
                      <c:pt idx="39">
                        <c:v>175.54302012091964</c:v>
                      </c:pt>
                      <c:pt idx="40">
                        <c:v>177.47840872173728</c:v>
                      </c:pt>
                      <c:pt idx="41">
                        <c:v>179.41379732255493</c:v>
                      </c:pt>
                      <c:pt idx="42">
                        <c:v>181.3491859233726</c:v>
                      </c:pt>
                      <c:pt idx="43">
                        <c:v>183.28457452419028</c:v>
                      </c:pt>
                      <c:pt idx="44">
                        <c:v>185.21996312500792</c:v>
                      </c:pt>
                      <c:pt idx="45">
                        <c:v>187.15535172582557</c:v>
                      </c:pt>
                      <c:pt idx="46">
                        <c:v>189.09074032664327</c:v>
                      </c:pt>
                      <c:pt idx="47">
                        <c:v>191.02612892746092</c:v>
                      </c:pt>
                      <c:pt idx="48">
                        <c:v>192.96151752827856</c:v>
                      </c:pt>
                      <c:pt idx="49">
                        <c:v>194.89690612909624</c:v>
                      </c:pt>
                      <c:pt idx="50">
                        <c:v>196.83229472991391</c:v>
                      </c:pt>
                      <c:pt idx="51">
                        <c:v>198.76768333073159</c:v>
                      </c:pt>
                      <c:pt idx="52">
                        <c:v>200.70307193154923</c:v>
                      </c:pt>
                      <c:pt idx="53">
                        <c:v>202.63846053236691</c:v>
                      </c:pt>
                      <c:pt idx="54">
                        <c:v>204.57384913318455</c:v>
                      </c:pt>
                      <c:pt idx="55">
                        <c:v>206.50923773400223</c:v>
                      </c:pt>
                      <c:pt idx="56">
                        <c:v>208.4446263348199</c:v>
                      </c:pt>
                      <c:pt idx="57">
                        <c:v>210.38001493563755</c:v>
                      </c:pt>
                      <c:pt idx="58">
                        <c:v>212.31540353645522</c:v>
                      </c:pt>
                      <c:pt idx="59">
                        <c:v>214.25079213727284</c:v>
                      </c:pt>
                      <c:pt idx="60">
                        <c:v>216.18618073809051</c:v>
                      </c:pt>
                      <c:pt idx="61">
                        <c:v>218.12156933890816</c:v>
                      </c:pt>
                      <c:pt idx="62">
                        <c:v>220.05695793972583</c:v>
                      </c:pt>
                      <c:pt idx="63">
                        <c:v>221.99234654054348</c:v>
                      </c:pt>
                      <c:pt idx="64">
                        <c:v>223.92773514136118</c:v>
                      </c:pt>
                      <c:pt idx="65">
                        <c:v>225.86312374217889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39E-4F1F-8A4E-BEFA5570439A}"/>
                  </c:ext>
                </c:extLst>
              </c15:ser>
            </c15:filteredScatterSeries>
          </c:ext>
        </c:extLst>
      </c:scatterChart>
      <c:valAx>
        <c:axId val="439484256"/>
        <c:scaling>
          <c:orientation val="minMax"/>
          <c:max val="2085"/>
          <c:min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>
                    <a:solidFill>
                      <a:schemeClr val="tx1"/>
                    </a:solidFill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483864"/>
        <c:crosses val="autoZero"/>
        <c:crossBetween val="midCat"/>
        <c:minorUnit val="1"/>
      </c:valAx>
      <c:valAx>
        <c:axId val="43948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>
                    <a:solidFill>
                      <a:schemeClr val="tx1"/>
                    </a:solidFill>
                  </a:rPr>
                  <a:t>Dollars Per AF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484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Cost Per Acre Assessment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'Cost Offsets'!$A$17:$A$26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'Cost Offsets'!$O$17:$O$26</c:f>
              <c:numCache>
                <c:formatCode>_("$"* #,##0.00_);_("$"* \(#,##0.00\);_("$"* "-"??_);_(@_)</c:formatCode>
                <c:ptCount val="10"/>
                <c:pt idx="0">
                  <c:v>161.45833333333334</c:v>
                </c:pt>
                <c:pt idx="1">
                  <c:v>140.625</c:v>
                </c:pt>
                <c:pt idx="2">
                  <c:v>101.5625</c:v>
                </c:pt>
                <c:pt idx="3">
                  <c:v>161.45833333333334</c:v>
                </c:pt>
                <c:pt idx="4">
                  <c:v>161.45833333333334</c:v>
                </c:pt>
                <c:pt idx="5">
                  <c:v>140.625</c:v>
                </c:pt>
                <c:pt idx="6">
                  <c:v>140.625</c:v>
                </c:pt>
                <c:pt idx="7">
                  <c:v>101.5625</c:v>
                </c:pt>
                <c:pt idx="8">
                  <c:v>161.45833333333334</c:v>
                </c:pt>
                <c:pt idx="9">
                  <c:v>153.64583333333334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36-4C3D-A7C3-2E8E65261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903744"/>
        <c:axId val="1856907072"/>
      </c:scatterChart>
      <c:valAx>
        <c:axId val="1856903744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907072"/>
        <c:crosses val="autoZero"/>
        <c:crossBetween val="midCat"/>
        <c:minorUnit val="1"/>
      </c:valAx>
      <c:valAx>
        <c:axId val="185690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903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</a:rPr>
              <a:t>Water Storage/Movement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Storage @ End of Year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'Cost Offsets'!$A$17:$A$26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'Cost Offsets'!$I$17:$I$26</c:f>
              <c:numCache>
                <c:formatCode>0_);[Red]\(0\)</c:formatCode>
                <c:ptCount val="10"/>
                <c:pt idx="0">
                  <c:v>62000</c:v>
                </c:pt>
                <c:pt idx="1">
                  <c:v>57000</c:v>
                </c:pt>
                <c:pt idx="2">
                  <c:v>47000</c:v>
                </c:pt>
                <c:pt idx="3">
                  <c:v>37000</c:v>
                </c:pt>
                <c:pt idx="4">
                  <c:v>57000</c:v>
                </c:pt>
                <c:pt idx="5">
                  <c:v>57000</c:v>
                </c:pt>
                <c:pt idx="6">
                  <c:v>62000</c:v>
                </c:pt>
                <c:pt idx="7">
                  <c:v>47000</c:v>
                </c:pt>
                <c:pt idx="8">
                  <c:v>37000</c:v>
                </c:pt>
                <c:pt idx="9">
                  <c:v>57000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A7-4D9C-A4C2-13DD19C40453}"/>
            </c:ext>
          </c:extLst>
        </c:ser>
        <c:ser>
          <c:idx val="1"/>
          <c:order val="1"/>
          <c:tx>
            <c:v>Water Used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'Cost Offsets'!$A$17:$A$26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'Cost Offsets'!$Q$17:$Q$26</c:f>
              <c:numCache>
                <c:formatCode>0_);[Red]\(0\)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10000</c:v>
                </c:pt>
                <c:pt idx="3">
                  <c:v>15000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10000</c:v>
                </c:pt>
                <c:pt idx="8">
                  <c:v>15000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A7-4D9C-A4C2-13DD19C40453}"/>
            </c:ext>
          </c:extLst>
        </c:ser>
        <c:ser>
          <c:idx val="2"/>
          <c:order val="2"/>
          <c:tx>
            <c:v>Water Transferred/Sold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'Cost Offsets'!$A$17:$A$26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'Cost Offsets'!$R$17:$R$26</c:f>
              <c:numCache>
                <c:formatCode>0_);[Red]\(0\)</c:formatCode>
                <c:ptCount val="10"/>
                <c:pt idx="0">
                  <c:v>0</c:v>
                </c:pt>
                <c:pt idx="1">
                  <c:v>5000</c:v>
                </c:pt>
                <c:pt idx="2">
                  <c:v>5000</c:v>
                </c:pt>
                <c:pt idx="3">
                  <c:v>0</c:v>
                </c:pt>
                <c:pt idx="4">
                  <c:v>0</c:v>
                </c:pt>
                <c:pt idx="5">
                  <c:v>5000</c:v>
                </c:pt>
                <c:pt idx="6">
                  <c:v>5000</c:v>
                </c:pt>
                <c:pt idx="7">
                  <c:v>5000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A7-4D9C-A4C2-13DD19C40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6138128"/>
        <c:axId val="1536140208"/>
      </c:scatterChart>
      <c:valAx>
        <c:axId val="1536138128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140208"/>
        <c:crosses val="autoZero"/>
        <c:crossBetween val="midCat"/>
        <c:minorUnit val="1"/>
      </c:valAx>
      <c:valAx>
        <c:axId val="153614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13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342899</xdr:colOff>
      <xdr:row>31</xdr:row>
      <xdr:rowOff>152399</xdr:rowOff>
    </xdr:from>
    <xdr:to>
      <xdr:col>37</xdr:col>
      <xdr:colOff>314324</xdr:colOff>
      <xdr:row>61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228599</xdr:colOff>
      <xdr:row>1</xdr:row>
      <xdr:rowOff>133350</xdr:rowOff>
    </xdr:from>
    <xdr:to>
      <xdr:col>37</xdr:col>
      <xdr:colOff>447674</xdr:colOff>
      <xdr:row>29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523875</xdr:colOff>
      <xdr:row>63</xdr:row>
      <xdr:rowOff>142874</xdr:rowOff>
    </xdr:from>
    <xdr:to>
      <xdr:col>37</xdr:col>
      <xdr:colOff>409575</xdr:colOff>
      <xdr:row>89</xdr:row>
      <xdr:rowOff>9524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161924</xdr:colOff>
      <xdr:row>21</xdr:row>
      <xdr:rowOff>152400</xdr:rowOff>
    </xdr:from>
    <xdr:to>
      <xdr:col>12</xdr:col>
      <xdr:colOff>704849</xdr:colOff>
      <xdr:row>41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</xdr:col>
      <xdr:colOff>314324</xdr:colOff>
      <xdr:row>2</xdr:row>
      <xdr:rowOff>85725</xdr:rowOff>
    </xdr:from>
    <xdr:to>
      <xdr:col>47</xdr:col>
      <xdr:colOff>476249</xdr:colOff>
      <xdr:row>26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762000</xdr:colOff>
      <xdr:row>100</xdr:row>
      <xdr:rowOff>95250</xdr:rowOff>
    </xdr:from>
    <xdr:to>
      <xdr:col>14</xdr:col>
      <xdr:colOff>347662</xdr:colOff>
      <xdr:row>118</xdr:row>
      <xdr:rowOff>114300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0.34118</cdr:x>
      <cdr:y>0.63113</cdr:y>
    </cdr:from>
    <cdr:to>
      <cdr:x>0.49542</cdr:x>
      <cdr:y>0.88663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E9FC9F7F-C58F-4EFE-BEA8-8F55A9517A58}"/>
            </a:ext>
          </a:extLst>
        </cdr:cNvPr>
        <cdr:cNvCxnSpPr/>
      </cdr:nvCxnSpPr>
      <cdr:spPr>
        <a:xfrm xmlns:a="http://schemas.openxmlformats.org/drawingml/2006/main" flipH="1">
          <a:off x="2486026" y="3552826"/>
          <a:ext cx="1123950" cy="14382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0.48235</cdr:x>
      <cdr:y>0.59729</cdr:y>
    </cdr:from>
    <cdr:to>
      <cdr:x>0.68235</cdr:x>
      <cdr:y>0.64975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514725" y="3362326"/>
          <a:ext cx="14573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Water Deliveries</a:t>
          </a:r>
          <a:r>
            <a:rPr lang="en-US" sz="1100" baseline="0"/>
            <a:t> Begin</a:t>
          </a:r>
          <a:endParaRPr lang="en-US" sz="1100"/>
        </a:p>
      </cdr:txBody>
    </cdr:sp>
  </cdr:relSizeAnchor>
  <cdr:relSizeAnchor xmlns:cdr="http://schemas.openxmlformats.org/drawingml/2006/chartDrawing">
    <cdr:from>
      <cdr:x>0.34248</cdr:x>
      <cdr:y>0.37902</cdr:y>
    </cdr:from>
    <cdr:to>
      <cdr:x>0.4915</cdr:x>
      <cdr:y>0.61083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E416EAB9-F4EB-4E18-B7D3-63A88C075493}"/>
            </a:ext>
          </a:extLst>
        </cdr:cNvPr>
        <cdr:cNvCxnSpPr/>
      </cdr:nvCxnSpPr>
      <cdr:spPr>
        <a:xfrm xmlns:a="http://schemas.openxmlformats.org/drawingml/2006/main" flipH="1" flipV="1">
          <a:off x="2495551" y="2133601"/>
          <a:ext cx="1085850" cy="13049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1</xdr:row>
      <xdr:rowOff>152400</xdr:rowOff>
    </xdr:from>
    <xdr:to>
      <xdr:col>13</xdr:col>
      <xdr:colOff>1076325</xdr:colOff>
      <xdr:row>27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</xdr:colOff>
      <xdr:row>28</xdr:row>
      <xdr:rowOff>150812</xdr:rowOff>
    </xdr:from>
    <xdr:to>
      <xdr:col>9</xdr:col>
      <xdr:colOff>339725</xdr:colOff>
      <xdr:row>43</xdr:row>
      <xdr:rowOff>173037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A3A975-5895-4A94-88AF-AD5C77994E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39687</xdr:colOff>
      <xdr:row>45</xdr:row>
      <xdr:rowOff>44451</xdr:rowOff>
    </xdr:from>
    <xdr:to>
      <xdr:col>9</xdr:col>
      <xdr:colOff>438150</xdr:colOff>
      <xdr:row>67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97F74F-4032-49DC-B36E-B83A6C73D9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533400</xdr:colOff>
      <xdr:row>0</xdr:row>
      <xdr:rowOff>171450</xdr:rowOff>
    </xdr:from>
    <xdr:to>
      <xdr:col>23</xdr:col>
      <xdr:colOff>228600</xdr:colOff>
      <xdr:row>14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47625</xdr:colOff>
      <xdr:row>16</xdr:row>
      <xdr:rowOff>161925</xdr:rowOff>
    </xdr:from>
    <xdr:to>
      <xdr:col>23</xdr:col>
      <xdr:colOff>352425</xdr:colOff>
      <xdr:row>30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252412</xdr:colOff>
      <xdr:row>56</xdr:row>
      <xdr:rowOff>19050</xdr:rowOff>
    </xdr:from>
    <xdr:to>
      <xdr:col>25</xdr:col>
      <xdr:colOff>438150</xdr:colOff>
      <xdr:row>76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571500</xdr:colOff>
      <xdr:row>108</xdr:row>
      <xdr:rowOff>180974</xdr:rowOff>
    </xdr:from>
    <xdr:to>
      <xdr:col>14</xdr:col>
      <xdr:colOff>981075</xdr:colOff>
      <xdr:row>128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1</xdr:row>
      <xdr:rowOff>38100</xdr:rowOff>
    </xdr:from>
    <xdr:to>
      <xdr:col>19</xdr:col>
      <xdr:colOff>476250</xdr:colOff>
      <xdr:row>12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28600"/>
          <a:ext cx="7581900" cy="21050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180975</xdr:rowOff>
    </xdr:from>
    <xdr:to>
      <xdr:col>32</xdr:col>
      <xdr:colOff>390525</xdr:colOff>
      <xdr:row>39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460375</xdr:colOff>
      <xdr:row>0</xdr:row>
      <xdr:rowOff>190499</xdr:rowOff>
    </xdr:from>
    <xdr:to>
      <xdr:col>49</xdr:col>
      <xdr:colOff>301625</xdr:colOff>
      <xdr:row>39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192086</xdr:colOff>
      <xdr:row>79</xdr:row>
      <xdr:rowOff>187324</xdr:rowOff>
    </xdr:from>
    <xdr:to>
      <xdr:col>31</xdr:col>
      <xdr:colOff>333375</xdr:colOff>
      <xdr:row>111</xdr:row>
      <xdr:rowOff>3175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685800</xdr:colOff>
      <xdr:row>79</xdr:row>
      <xdr:rowOff>66675</xdr:rowOff>
    </xdr:from>
    <xdr:to>
      <xdr:col>16</xdr:col>
      <xdr:colOff>457200</xdr:colOff>
      <xdr:row>111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39</xdr:row>
      <xdr:rowOff>57150</xdr:rowOff>
    </xdr:from>
    <xdr:to>
      <xdr:col>32</xdr:col>
      <xdr:colOff>428626</xdr:colOff>
      <xdr:row>76</xdr:row>
      <xdr:rowOff>31750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457199</xdr:colOff>
      <xdr:row>51</xdr:row>
      <xdr:rowOff>19049</xdr:rowOff>
    </xdr:from>
    <xdr:to>
      <xdr:col>13</xdr:col>
      <xdr:colOff>523875</xdr:colOff>
      <xdr:row>76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35"/>
  <sheetViews>
    <sheetView workbookViewId="0">
      <selection activeCell="B3" sqref="B3"/>
    </sheetView>
  </sheetViews>
  <sheetFormatPr defaultRowHeight="15"/>
  <cols>
    <col min="1" max="1" width="36.5703125" style="14" bestFit="1" customWidth="1"/>
    <col min="2" max="3" width="13.7109375" style="14" bestFit="1" customWidth="1"/>
    <col min="4" max="4" width="14.7109375" style="14" bestFit="1" customWidth="1"/>
    <col min="5" max="13" width="15.7109375" style="14" bestFit="1" customWidth="1"/>
    <col min="14" max="14" width="15.7109375" style="70" bestFit="1" customWidth="1"/>
    <col min="15" max="15" width="15.7109375" style="72" bestFit="1" customWidth="1"/>
    <col min="16" max="16" width="13.7109375" style="68" bestFit="1" customWidth="1"/>
    <col min="17" max="25" width="9.140625" style="14"/>
  </cols>
  <sheetData>
    <row r="2" spans="1:16">
      <c r="B2" s="14">
        <v>2019</v>
      </c>
      <c r="C2" s="14">
        <v>2020</v>
      </c>
      <c r="D2" s="14">
        <v>2021</v>
      </c>
      <c r="E2" s="14">
        <v>2022</v>
      </c>
      <c r="F2" s="55">
        <v>2023</v>
      </c>
      <c r="G2" s="55">
        <v>2024</v>
      </c>
      <c r="H2" s="55">
        <v>2025</v>
      </c>
      <c r="I2" s="55">
        <v>2026</v>
      </c>
      <c r="J2" s="55">
        <v>2027</v>
      </c>
      <c r="K2" s="55">
        <v>2028</v>
      </c>
      <c r="L2" s="55">
        <v>2029</v>
      </c>
      <c r="M2" s="55">
        <v>2030</v>
      </c>
      <c r="N2" s="70">
        <v>2031</v>
      </c>
      <c r="O2" s="72">
        <v>2060</v>
      </c>
      <c r="P2" s="68">
        <v>2071</v>
      </c>
    </row>
    <row r="3" spans="1:16">
      <c r="A3" s="14" t="s">
        <v>142</v>
      </c>
      <c r="B3" s="20">
        <f>'Cost Schedule'!H37</f>
        <v>1932300.6568753512</v>
      </c>
      <c r="C3" s="20">
        <f>'Cost Schedule'!I37</f>
        <v>4209748.4129039282</v>
      </c>
      <c r="D3" s="20">
        <f>'Cost Schedule'!J37</f>
        <v>12474242.194112133</v>
      </c>
      <c r="E3" s="20">
        <f>'Cost Schedule'!K37</f>
        <v>102465515.05624264</v>
      </c>
      <c r="F3" s="20">
        <f>'Cost Schedule'!L37</f>
        <v>102465515.05624264</v>
      </c>
      <c r="G3" s="20">
        <f>'Cost Schedule'!M37</f>
        <v>102465515.05624264</v>
      </c>
      <c r="H3" s="20">
        <f>'Cost Schedule'!N37</f>
        <v>189284175.81667146</v>
      </c>
      <c r="I3" s="20">
        <f>'Cost Schedule'!O37</f>
        <v>189284175.81667146</v>
      </c>
      <c r="J3" s="20">
        <f>'Cost Schedule'!P37</f>
        <v>189284175.81667146</v>
      </c>
      <c r="K3" s="20">
        <f>'Cost Schedule'!Q37</f>
        <v>218059947.7568219</v>
      </c>
      <c r="L3" s="20">
        <f>'Cost Schedule'!R37</f>
        <v>218059947.7568219</v>
      </c>
      <c r="M3" s="20">
        <f>'Cost Schedule'!S37</f>
        <v>268428351.47434771</v>
      </c>
      <c r="N3" s="71">
        <f>'Cost Schedule'!T37</f>
        <v>323096598.46324706</v>
      </c>
      <c r="O3" s="73">
        <f>'Cost Schedule'!AW37</f>
        <v>280243658.66324705</v>
      </c>
      <c r="P3" s="69">
        <f>'Cost Schedule'!BH37</f>
        <v>7515463.9175257739</v>
      </c>
    </row>
    <row r="4" spans="1:16">
      <c r="A4" s="55" t="s">
        <v>141</v>
      </c>
      <c r="B4" s="20">
        <f>B3*CPI!$S$93</f>
        <v>2157900.5515545774</v>
      </c>
      <c r="C4" s="20">
        <f>C3*CPI!$S$93</f>
        <v>4701244.8035913482</v>
      </c>
      <c r="D4" s="20">
        <f>D3*CPI!$S$93</f>
        <v>13930634.456455806</v>
      </c>
      <c r="E4" s="20">
        <f>E3*CPI!$S$93</f>
        <v>114428565.07265228</v>
      </c>
      <c r="F4" s="20">
        <f>F3*CPI!$S$93</f>
        <v>114428565.07265228</v>
      </c>
      <c r="G4" s="20">
        <f>G3*CPI!$S$93</f>
        <v>114428565.07265228</v>
      </c>
      <c r="H4" s="20">
        <f>H3*CPI!$S$93</f>
        <v>211383474.8966282</v>
      </c>
      <c r="I4" s="20">
        <f>I3*CPI!$S$93</f>
        <v>211383474.8966282</v>
      </c>
      <c r="J4" s="20">
        <f>J3*CPI!$S$93</f>
        <v>211383474.8966282</v>
      </c>
      <c r="K4" s="20">
        <f>K3*CPI!$S$93</f>
        <v>243518874.69588676</v>
      </c>
      <c r="L4" s="20">
        <f>L3*CPI!$S$93</f>
        <v>243518874.69588676</v>
      </c>
      <c r="M4" s="20">
        <f>M3*CPI!$S$93</f>
        <v>299767888.41755623</v>
      </c>
      <c r="N4" s="71">
        <f>N3*CPI!$S$93</f>
        <v>360818760.55286378</v>
      </c>
      <c r="O4" s="73">
        <f>O3*CPI!$S$93</f>
        <v>312962655.91349119</v>
      </c>
      <c r="P4" s="69">
        <f>P3*CPI!$S$93</f>
        <v>8392909.0822968967</v>
      </c>
    </row>
    <row r="6" spans="1:16">
      <c r="A6" s="14" t="s">
        <v>144</v>
      </c>
    </row>
    <row r="7" spans="1:16">
      <c r="A7" s="14" t="s">
        <v>115</v>
      </c>
      <c r="B7" s="20">
        <f>B4/300000</f>
        <v>7.1930018385152579</v>
      </c>
      <c r="C7" s="20">
        <f t="shared" ref="C7:P7" si="0">C4/300000</f>
        <v>15.67081601197116</v>
      </c>
      <c r="D7" s="20">
        <f t="shared" si="0"/>
        <v>46.435448188186022</v>
      </c>
      <c r="E7" s="20">
        <f t="shared" si="0"/>
        <v>381.42855024217425</v>
      </c>
      <c r="F7" s="20">
        <f t="shared" si="0"/>
        <v>381.42855024217425</v>
      </c>
      <c r="G7" s="20">
        <f t="shared" si="0"/>
        <v>381.42855024217425</v>
      </c>
      <c r="H7" s="20">
        <f t="shared" si="0"/>
        <v>704.61158298876069</v>
      </c>
      <c r="I7" s="20">
        <f t="shared" si="0"/>
        <v>704.61158298876069</v>
      </c>
      <c r="J7" s="20">
        <f t="shared" si="0"/>
        <v>704.61158298876069</v>
      </c>
      <c r="K7" s="20">
        <f t="shared" si="0"/>
        <v>811.72958231962252</v>
      </c>
      <c r="L7" s="20">
        <f t="shared" si="0"/>
        <v>811.72958231962252</v>
      </c>
      <c r="M7" s="20">
        <f t="shared" si="0"/>
        <v>999.22629472518747</v>
      </c>
      <c r="N7" s="71">
        <f t="shared" si="0"/>
        <v>1202.7292018428793</v>
      </c>
      <c r="O7" s="73">
        <f t="shared" si="0"/>
        <v>1043.2088530449707</v>
      </c>
      <c r="P7" s="69">
        <f t="shared" si="0"/>
        <v>27.976363607656321</v>
      </c>
    </row>
    <row r="8" spans="1:16">
      <c r="A8" s="14" t="s">
        <v>116</v>
      </c>
      <c r="B8" s="20">
        <f>B4/260000</f>
        <v>8.2996175059791444</v>
      </c>
      <c r="C8" s="20">
        <f t="shared" ref="C8:P8" si="1">C4/260000</f>
        <v>18.081710783043647</v>
      </c>
      <c r="D8" s="20">
        <f t="shared" si="1"/>
        <v>53.579363294060791</v>
      </c>
      <c r="E8" s="20">
        <f t="shared" si="1"/>
        <v>440.10986566404722</v>
      </c>
      <c r="F8" s="20">
        <f t="shared" si="1"/>
        <v>440.10986566404722</v>
      </c>
      <c r="G8" s="20">
        <f t="shared" si="1"/>
        <v>440.10986566404722</v>
      </c>
      <c r="H8" s="20">
        <f t="shared" si="1"/>
        <v>813.01336498703154</v>
      </c>
      <c r="I8" s="20">
        <f t="shared" si="1"/>
        <v>813.01336498703154</v>
      </c>
      <c r="J8" s="20">
        <f t="shared" si="1"/>
        <v>813.01336498703154</v>
      </c>
      <c r="K8" s="20">
        <f t="shared" si="1"/>
        <v>936.61105652264143</v>
      </c>
      <c r="L8" s="20">
        <f t="shared" si="1"/>
        <v>936.61105652264143</v>
      </c>
      <c r="M8" s="20">
        <f t="shared" si="1"/>
        <v>1152.9534169906008</v>
      </c>
      <c r="N8" s="71">
        <f t="shared" si="1"/>
        <v>1387.7644636648606</v>
      </c>
      <c r="O8" s="73">
        <f t="shared" si="1"/>
        <v>1203.7025227441968</v>
      </c>
      <c r="P8" s="69">
        <f t="shared" si="1"/>
        <v>32.280419547295757</v>
      </c>
    </row>
    <row r="9" spans="1:16">
      <c r="A9" s="14" t="s">
        <v>117</v>
      </c>
      <c r="B9" s="20">
        <f>B4/240000</f>
        <v>8.9912522981440723</v>
      </c>
      <c r="C9" s="20">
        <f t="shared" ref="C9:P9" si="2">C4/240000</f>
        <v>19.588520014963951</v>
      </c>
      <c r="D9" s="20">
        <f t="shared" si="2"/>
        <v>58.044310235232523</v>
      </c>
      <c r="E9" s="20">
        <f t="shared" si="2"/>
        <v>476.78568780271786</v>
      </c>
      <c r="F9" s="20">
        <f t="shared" si="2"/>
        <v>476.78568780271786</v>
      </c>
      <c r="G9" s="20">
        <f t="shared" si="2"/>
        <v>476.78568780271786</v>
      </c>
      <c r="H9" s="20">
        <f t="shared" si="2"/>
        <v>880.76447873595089</v>
      </c>
      <c r="I9" s="20">
        <f t="shared" si="2"/>
        <v>880.76447873595089</v>
      </c>
      <c r="J9" s="20">
        <f t="shared" si="2"/>
        <v>880.76447873595089</v>
      </c>
      <c r="K9" s="20">
        <f t="shared" si="2"/>
        <v>1014.6619778995282</v>
      </c>
      <c r="L9" s="20">
        <f t="shared" si="2"/>
        <v>1014.6619778995282</v>
      </c>
      <c r="M9" s="20">
        <f t="shared" si="2"/>
        <v>1249.0328684064843</v>
      </c>
      <c r="N9" s="71">
        <f t="shared" si="2"/>
        <v>1503.411502303599</v>
      </c>
      <c r="O9" s="73">
        <f t="shared" si="2"/>
        <v>1304.0110663062133</v>
      </c>
      <c r="P9" s="69">
        <f t="shared" si="2"/>
        <v>34.970454509570402</v>
      </c>
    </row>
    <row r="10" spans="1:16">
      <c r="A10" s="14" t="s">
        <v>143</v>
      </c>
      <c r="B10" s="20">
        <f>B4/225000</f>
        <v>9.5906691180203438</v>
      </c>
      <c r="C10" s="20">
        <f t="shared" ref="C10:P10" si="3">C4/225000</f>
        <v>20.89442134929488</v>
      </c>
      <c r="D10" s="20">
        <f t="shared" si="3"/>
        <v>61.913930917581361</v>
      </c>
      <c r="E10" s="20">
        <f t="shared" si="3"/>
        <v>508.57140032289902</v>
      </c>
      <c r="F10" s="20">
        <f t="shared" si="3"/>
        <v>508.57140032289902</v>
      </c>
      <c r="G10" s="20">
        <f t="shared" si="3"/>
        <v>508.57140032289902</v>
      </c>
      <c r="H10" s="20">
        <f t="shared" si="3"/>
        <v>939.48211065168084</v>
      </c>
      <c r="I10" s="20">
        <f t="shared" si="3"/>
        <v>939.48211065168084</v>
      </c>
      <c r="J10" s="20">
        <f t="shared" si="3"/>
        <v>939.48211065168084</v>
      </c>
      <c r="K10" s="20">
        <f t="shared" si="3"/>
        <v>1082.3061097594966</v>
      </c>
      <c r="L10" s="20">
        <f t="shared" si="3"/>
        <v>1082.3061097594966</v>
      </c>
      <c r="M10" s="20">
        <f t="shared" si="3"/>
        <v>1332.3017263002498</v>
      </c>
      <c r="N10" s="71">
        <f t="shared" si="3"/>
        <v>1603.6389357905057</v>
      </c>
      <c r="O10" s="73">
        <f t="shared" si="3"/>
        <v>1390.9451373932941</v>
      </c>
      <c r="P10" s="69">
        <f t="shared" si="3"/>
        <v>37.301818143541766</v>
      </c>
    </row>
    <row r="11" spans="1:16">
      <c r="A11" s="14" t="s">
        <v>118</v>
      </c>
      <c r="B11" s="20">
        <f>B4/200000</f>
        <v>10.789502757772887</v>
      </c>
      <c r="C11" s="20">
        <f t="shared" ref="C11:P11" si="4">C4/200000</f>
        <v>23.50622401795674</v>
      </c>
      <c r="D11" s="20">
        <f t="shared" si="4"/>
        <v>69.65317228227903</v>
      </c>
      <c r="E11" s="20">
        <f t="shared" si="4"/>
        <v>572.14282536326141</v>
      </c>
      <c r="F11" s="20">
        <f t="shared" si="4"/>
        <v>572.14282536326141</v>
      </c>
      <c r="G11" s="20">
        <f t="shared" si="4"/>
        <v>572.14282536326141</v>
      </c>
      <c r="H11" s="20">
        <f t="shared" si="4"/>
        <v>1056.917374483141</v>
      </c>
      <c r="I11" s="20">
        <f t="shared" si="4"/>
        <v>1056.917374483141</v>
      </c>
      <c r="J11" s="20">
        <f t="shared" si="4"/>
        <v>1056.917374483141</v>
      </c>
      <c r="K11" s="20">
        <f t="shared" si="4"/>
        <v>1217.5943734794339</v>
      </c>
      <c r="L11" s="20">
        <f t="shared" si="4"/>
        <v>1217.5943734794339</v>
      </c>
      <c r="M11" s="20">
        <f t="shared" si="4"/>
        <v>1498.8394420877812</v>
      </c>
      <c r="N11" s="71">
        <f t="shared" si="4"/>
        <v>1804.093802764319</v>
      </c>
      <c r="O11" s="73">
        <f t="shared" si="4"/>
        <v>1564.813279567456</v>
      </c>
      <c r="P11" s="69">
        <f t="shared" si="4"/>
        <v>41.964545411484487</v>
      </c>
    </row>
    <row r="13" spans="1:16">
      <c r="A13" s="14" t="s">
        <v>151</v>
      </c>
    </row>
    <row r="14" spans="1:16">
      <c r="A14" s="14" t="s">
        <v>146</v>
      </c>
      <c r="B14" s="20">
        <f>B10*20000</f>
        <v>191813.38236040689</v>
      </c>
      <c r="C14" s="20">
        <f t="shared" ref="C14:P14" si="5">C10*20000</f>
        <v>417888.42698589759</v>
      </c>
      <c r="D14" s="20">
        <f t="shared" si="5"/>
        <v>1238278.6183516271</v>
      </c>
      <c r="E14" s="20">
        <f t="shared" si="5"/>
        <v>10171428.006457981</v>
      </c>
      <c r="F14" s="20">
        <f t="shared" si="5"/>
        <v>10171428.006457981</v>
      </c>
      <c r="G14" s="20">
        <f t="shared" si="5"/>
        <v>10171428.006457981</v>
      </c>
      <c r="H14" s="20">
        <f t="shared" si="5"/>
        <v>18789642.213033617</v>
      </c>
      <c r="I14" s="20">
        <f t="shared" si="5"/>
        <v>18789642.213033617</v>
      </c>
      <c r="J14" s="20">
        <f t="shared" si="5"/>
        <v>18789642.213033617</v>
      </c>
      <c r="K14" s="20">
        <f t="shared" si="5"/>
        <v>21646122.195189934</v>
      </c>
      <c r="L14" s="20">
        <f t="shared" si="5"/>
        <v>21646122.195189934</v>
      </c>
      <c r="M14" s="20">
        <f t="shared" si="5"/>
        <v>26646034.526004996</v>
      </c>
      <c r="N14" s="71">
        <f t="shared" si="5"/>
        <v>32072778.715810113</v>
      </c>
      <c r="O14" s="73">
        <f t="shared" si="5"/>
        <v>27818902.747865882</v>
      </c>
      <c r="P14" s="69">
        <f t="shared" si="5"/>
        <v>746036.36287083535</v>
      </c>
    </row>
    <row r="15" spans="1:16">
      <c r="A15" s="14" t="s">
        <v>147</v>
      </c>
      <c r="B15" s="20">
        <f>B10*15000</f>
        <v>143860.03677030516</v>
      </c>
      <c r="C15" s="20">
        <f t="shared" ref="C15:P15" si="6">C10*15000</f>
        <v>313416.32023942319</v>
      </c>
      <c r="D15" s="20">
        <f t="shared" si="6"/>
        <v>928708.96376372036</v>
      </c>
      <c r="E15" s="20">
        <f t="shared" si="6"/>
        <v>7628571.0048434855</v>
      </c>
      <c r="F15" s="20">
        <f t="shared" si="6"/>
        <v>7628571.0048434855</v>
      </c>
      <c r="G15" s="20">
        <f t="shared" si="6"/>
        <v>7628571.0048434855</v>
      </c>
      <c r="H15" s="20">
        <f t="shared" si="6"/>
        <v>14092231.659775212</v>
      </c>
      <c r="I15" s="20">
        <f t="shared" si="6"/>
        <v>14092231.659775212</v>
      </c>
      <c r="J15" s="20">
        <f t="shared" si="6"/>
        <v>14092231.659775212</v>
      </c>
      <c r="K15" s="20">
        <f t="shared" si="6"/>
        <v>16234591.64639245</v>
      </c>
      <c r="L15" s="20">
        <f t="shared" si="6"/>
        <v>16234591.64639245</v>
      </c>
      <c r="M15" s="20">
        <f t="shared" si="6"/>
        <v>19984525.894503746</v>
      </c>
      <c r="N15" s="71">
        <f t="shared" si="6"/>
        <v>24054584.036857586</v>
      </c>
      <c r="O15" s="73">
        <f t="shared" si="6"/>
        <v>20864177.06089941</v>
      </c>
      <c r="P15" s="69">
        <f t="shared" si="6"/>
        <v>559527.27215312654</v>
      </c>
    </row>
    <row r="16" spans="1:16">
      <c r="A16" s="14" t="s">
        <v>148</v>
      </c>
      <c r="B16" s="20">
        <f>B10*10000</f>
        <v>95906.691180203445</v>
      </c>
      <c r="C16" s="20">
        <f t="shared" ref="C16:P16" si="7">C10*10000</f>
        <v>208944.21349294879</v>
      </c>
      <c r="D16" s="20">
        <f t="shared" si="7"/>
        <v>619139.30917581357</v>
      </c>
      <c r="E16" s="20">
        <f t="shared" si="7"/>
        <v>5085714.0032289904</v>
      </c>
      <c r="F16" s="20">
        <f t="shared" si="7"/>
        <v>5085714.0032289904</v>
      </c>
      <c r="G16" s="20">
        <f t="shared" si="7"/>
        <v>5085714.0032289904</v>
      </c>
      <c r="H16" s="20">
        <f t="shared" si="7"/>
        <v>9394821.1065168083</v>
      </c>
      <c r="I16" s="20">
        <f t="shared" si="7"/>
        <v>9394821.1065168083</v>
      </c>
      <c r="J16" s="20">
        <f t="shared" si="7"/>
        <v>9394821.1065168083</v>
      </c>
      <c r="K16" s="20">
        <f t="shared" si="7"/>
        <v>10823061.097594967</v>
      </c>
      <c r="L16" s="20">
        <f t="shared" si="7"/>
        <v>10823061.097594967</v>
      </c>
      <c r="M16" s="20">
        <f t="shared" si="7"/>
        <v>13323017.263002498</v>
      </c>
      <c r="N16" s="71">
        <f t="shared" si="7"/>
        <v>16036389.357905056</v>
      </c>
      <c r="O16" s="73">
        <f t="shared" si="7"/>
        <v>13909451.373932941</v>
      </c>
      <c r="P16" s="69">
        <f t="shared" si="7"/>
        <v>373018.18143541767</v>
      </c>
    </row>
    <row r="17" spans="1:25">
      <c r="A17" s="14" t="s">
        <v>149</v>
      </c>
      <c r="B17" s="20">
        <f>B10*5000</f>
        <v>47953.345590101722</v>
      </c>
      <c r="C17" s="20">
        <f t="shared" ref="C17:P17" si="8">C10*5000</f>
        <v>104472.1067464744</v>
      </c>
      <c r="D17" s="20">
        <f t="shared" si="8"/>
        <v>309569.65458790679</v>
      </c>
      <c r="E17" s="20">
        <f t="shared" si="8"/>
        <v>2542857.0016144952</v>
      </c>
      <c r="F17" s="20">
        <f t="shared" si="8"/>
        <v>2542857.0016144952</v>
      </c>
      <c r="G17" s="20">
        <f t="shared" si="8"/>
        <v>2542857.0016144952</v>
      </c>
      <c r="H17" s="20">
        <f t="shared" si="8"/>
        <v>4697410.5532584041</v>
      </c>
      <c r="I17" s="20">
        <f t="shared" si="8"/>
        <v>4697410.5532584041</v>
      </c>
      <c r="J17" s="20">
        <f t="shared" si="8"/>
        <v>4697410.5532584041</v>
      </c>
      <c r="K17" s="20">
        <f t="shared" si="8"/>
        <v>5411530.5487974836</v>
      </c>
      <c r="L17" s="20">
        <f t="shared" si="8"/>
        <v>5411530.5487974836</v>
      </c>
      <c r="M17" s="20">
        <f t="shared" si="8"/>
        <v>6661508.631501249</v>
      </c>
      <c r="N17" s="71">
        <f t="shared" si="8"/>
        <v>8018194.6789525282</v>
      </c>
      <c r="O17" s="73">
        <f t="shared" si="8"/>
        <v>6954725.6869664704</v>
      </c>
      <c r="P17" s="69">
        <f t="shared" si="8"/>
        <v>186509.09071770884</v>
      </c>
    </row>
    <row r="18" spans="1:25">
      <c r="A18" s="14" t="s">
        <v>150</v>
      </c>
      <c r="B18" s="20">
        <f>B10*2000</f>
        <v>19181.338236040687</v>
      </c>
      <c r="C18" s="20">
        <f t="shared" ref="C18:P18" si="9">C10*2000</f>
        <v>41788.84269858976</v>
      </c>
      <c r="D18" s="20">
        <f t="shared" si="9"/>
        <v>123827.86183516272</v>
      </c>
      <c r="E18" s="20">
        <f t="shared" si="9"/>
        <v>1017142.8006457981</v>
      </c>
      <c r="F18" s="20">
        <f t="shared" si="9"/>
        <v>1017142.8006457981</v>
      </c>
      <c r="G18" s="20">
        <f t="shared" si="9"/>
        <v>1017142.8006457981</v>
      </c>
      <c r="H18" s="20">
        <f t="shared" si="9"/>
        <v>1878964.2213033617</v>
      </c>
      <c r="I18" s="20">
        <f t="shared" si="9"/>
        <v>1878964.2213033617</v>
      </c>
      <c r="J18" s="20">
        <f t="shared" si="9"/>
        <v>1878964.2213033617</v>
      </c>
      <c r="K18" s="20">
        <f t="shared" si="9"/>
        <v>2164612.219518993</v>
      </c>
      <c r="L18" s="20">
        <f t="shared" si="9"/>
        <v>2164612.219518993</v>
      </c>
      <c r="M18" s="20">
        <f t="shared" si="9"/>
        <v>2664603.4526004996</v>
      </c>
      <c r="N18" s="71">
        <f t="shared" si="9"/>
        <v>3207277.8715810115</v>
      </c>
      <c r="O18" s="73">
        <f t="shared" si="9"/>
        <v>2781890.2747865883</v>
      </c>
      <c r="P18" s="69">
        <f t="shared" si="9"/>
        <v>74603.636287083529</v>
      </c>
    </row>
    <row r="20" spans="1:25">
      <c r="A20" s="55" t="s">
        <v>152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Q20" s="55"/>
      <c r="R20" s="55"/>
      <c r="S20" s="55"/>
      <c r="T20" s="55"/>
      <c r="U20" s="55"/>
      <c r="V20" s="55"/>
      <c r="W20" s="55"/>
      <c r="X20" s="55"/>
      <c r="Y20" s="55"/>
    </row>
    <row r="21" spans="1:25">
      <c r="A21" s="55" t="s">
        <v>146</v>
      </c>
      <c r="B21" s="20">
        <f>B8*20000</f>
        <v>165992.3501195829</v>
      </c>
      <c r="C21" s="20">
        <f t="shared" ref="C21:P21" si="10">C8*20000</f>
        <v>361634.21566087293</v>
      </c>
      <c r="D21" s="20">
        <f t="shared" si="10"/>
        <v>1071587.2658812159</v>
      </c>
      <c r="E21" s="20">
        <f t="shared" si="10"/>
        <v>8802197.3132809438</v>
      </c>
      <c r="F21" s="20">
        <f t="shared" si="10"/>
        <v>8802197.3132809438</v>
      </c>
      <c r="G21" s="20">
        <f t="shared" si="10"/>
        <v>8802197.3132809438</v>
      </c>
      <c r="H21" s="20">
        <f t="shared" si="10"/>
        <v>16260267.299740631</v>
      </c>
      <c r="I21" s="20">
        <f t="shared" si="10"/>
        <v>16260267.299740631</v>
      </c>
      <c r="J21" s="20">
        <f t="shared" si="10"/>
        <v>16260267.299740631</v>
      </c>
      <c r="K21" s="20">
        <f t="shared" si="10"/>
        <v>18732221.13045283</v>
      </c>
      <c r="L21" s="20">
        <f t="shared" si="10"/>
        <v>18732221.13045283</v>
      </c>
      <c r="M21" s="20">
        <f t="shared" si="10"/>
        <v>23059068.339812014</v>
      </c>
      <c r="N21" s="71">
        <f t="shared" si="10"/>
        <v>27755289.273297213</v>
      </c>
      <c r="O21" s="73">
        <f t="shared" si="10"/>
        <v>24074050.454883937</v>
      </c>
      <c r="P21" s="69">
        <f t="shared" si="10"/>
        <v>645608.39094591513</v>
      </c>
      <c r="Q21" s="55"/>
      <c r="R21" s="55"/>
      <c r="S21" s="55"/>
      <c r="T21" s="55"/>
      <c r="U21" s="55"/>
      <c r="V21" s="55"/>
      <c r="W21" s="55"/>
      <c r="X21" s="55"/>
      <c r="Y21" s="55"/>
    </row>
    <row r="22" spans="1:25">
      <c r="A22" s="55" t="s">
        <v>147</v>
      </c>
      <c r="B22" s="20">
        <f>B8*15000</f>
        <v>124494.26258968716</v>
      </c>
      <c r="C22" s="20">
        <f t="shared" ref="C22:P22" si="11">C8*15000</f>
        <v>271225.66174565471</v>
      </c>
      <c r="D22" s="20">
        <f t="shared" si="11"/>
        <v>803690.44941091188</v>
      </c>
      <c r="E22" s="20">
        <f t="shared" si="11"/>
        <v>6601647.9849607078</v>
      </c>
      <c r="F22" s="20">
        <f t="shared" si="11"/>
        <v>6601647.9849607078</v>
      </c>
      <c r="G22" s="20">
        <f t="shared" si="11"/>
        <v>6601647.9849607078</v>
      </c>
      <c r="H22" s="20">
        <f t="shared" si="11"/>
        <v>12195200.474805472</v>
      </c>
      <c r="I22" s="20">
        <f t="shared" si="11"/>
        <v>12195200.474805472</v>
      </c>
      <c r="J22" s="20">
        <f t="shared" si="11"/>
        <v>12195200.474805472</v>
      </c>
      <c r="K22" s="20">
        <f t="shared" si="11"/>
        <v>14049165.847839622</v>
      </c>
      <c r="L22" s="20">
        <f t="shared" si="11"/>
        <v>14049165.847839622</v>
      </c>
      <c r="M22" s="20">
        <f t="shared" si="11"/>
        <v>17294301.254859012</v>
      </c>
      <c r="N22" s="71">
        <f t="shared" si="11"/>
        <v>20816466.954972908</v>
      </c>
      <c r="O22" s="73">
        <f t="shared" si="11"/>
        <v>18055537.841162954</v>
      </c>
      <c r="P22" s="69">
        <f t="shared" si="11"/>
        <v>484206.29320943635</v>
      </c>
      <c r="Q22" s="55"/>
      <c r="R22" s="55"/>
      <c r="S22" s="55"/>
      <c r="T22" s="55"/>
      <c r="U22" s="55"/>
      <c r="V22" s="55"/>
      <c r="W22" s="55"/>
      <c r="X22" s="55"/>
      <c r="Y22" s="55"/>
    </row>
    <row r="23" spans="1:25">
      <c r="A23" s="55" t="s">
        <v>148</v>
      </c>
      <c r="B23" s="20">
        <f>B8*10000</f>
        <v>82996.175059791451</v>
      </c>
      <c r="C23" s="20">
        <f t="shared" ref="C23:P23" si="12">C8*10000</f>
        <v>180817.10783043646</v>
      </c>
      <c r="D23" s="20">
        <f t="shared" si="12"/>
        <v>535793.63294060796</v>
      </c>
      <c r="E23" s="20">
        <f t="shared" si="12"/>
        <v>4401098.6566404719</v>
      </c>
      <c r="F23" s="20">
        <f t="shared" si="12"/>
        <v>4401098.6566404719</v>
      </c>
      <c r="G23" s="20">
        <f t="shared" si="12"/>
        <v>4401098.6566404719</v>
      </c>
      <c r="H23" s="20">
        <f t="shared" si="12"/>
        <v>8130133.6498703156</v>
      </c>
      <c r="I23" s="20">
        <f t="shared" si="12"/>
        <v>8130133.6498703156</v>
      </c>
      <c r="J23" s="20">
        <f t="shared" si="12"/>
        <v>8130133.6498703156</v>
      </c>
      <c r="K23" s="20">
        <f t="shared" si="12"/>
        <v>9366110.5652264152</v>
      </c>
      <c r="L23" s="20">
        <f t="shared" si="12"/>
        <v>9366110.5652264152</v>
      </c>
      <c r="M23" s="20">
        <f t="shared" si="12"/>
        <v>11529534.169906007</v>
      </c>
      <c r="N23" s="71">
        <f t="shared" si="12"/>
        <v>13877644.636648607</v>
      </c>
      <c r="O23" s="73">
        <f t="shared" si="12"/>
        <v>12037025.227441968</v>
      </c>
      <c r="P23" s="69">
        <f t="shared" si="12"/>
        <v>322804.19547295757</v>
      </c>
      <c r="Q23" s="55"/>
      <c r="R23" s="55"/>
      <c r="S23" s="55"/>
      <c r="T23" s="55"/>
      <c r="U23" s="55"/>
      <c r="V23" s="55"/>
      <c r="W23" s="55"/>
      <c r="X23" s="55"/>
      <c r="Y23" s="55"/>
    </row>
    <row r="24" spans="1:25">
      <c r="A24" s="55" t="s">
        <v>149</v>
      </c>
      <c r="B24" s="20">
        <f>B8*5000</f>
        <v>41498.087529895725</v>
      </c>
      <c r="C24" s="20">
        <f t="shared" ref="C24:P24" si="13">C8*5000</f>
        <v>90408.553915218232</v>
      </c>
      <c r="D24" s="20">
        <f t="shared" si="13"/>
        <v>267896.81647030398</v>
      </c>
      <c r="E24" s="20">
        <f t="shared" si="13"/>
        <v>2200549.3283202359</v>
      </c>
      <c r="F24" s="20">
        <f t="shared" si="13"/>
        <v>2200549.3283202359</v>
      </c>
      <c r="G24" s="20">
        <f t="shared" si="13"/>
        <v>2200549.3283202359</v>
      </c>
      <c r="H24" s="20">
        <f t="shared" si="13"/>
        <v>4065066.8249351578</v>
      </c>
      <c r="I24" s="20">
        <f t="shared" si="13"/>
        <v>4065066.8249351578</v>
      </c>
      <c r="J24" s="20">
        <f t="shared" si="13"/>
        <v>4065066.8249351578</v>
      </c>
      <c r="K24" s="20">
        <f t="shared" si="13"/>
        <v>4683055.2826132076</v>
      </c>
      <c r="L24" s="20">
        <f t="shared" si="13"/>
        <v>4683055.2826132076</v>
      </c>
      <c r="M24" s="20">
        <f t="shared" si="13"/>
        <v>5764767.0849530036</v>
      </c>
      <c r="N24" s="71">
        <f t="shared" si="13"/>
        <v>6938822.3183243033</v>
      </c>
      <c r="O24" s="73">
        <f t="shared" si="13"/>
        <v>6018512.6137209842</v>
      </c>
      <c r="P24" s="69">
        <f t="shared" si="13"/>
        <v>161402.09773647878</v>
      </c>
      <c r="Q24" s="55"/>
      <c r="R24" s="55"/>
      <c r="S24" s="55"/>
      <c r="T24" s="55"/>
      <c r="U24" s="55"/>
      <c r="V24" s="55"/>
      <c r="W24" s="55"/>
      <c r="X24" s="55"/>
      <c r="Y24" s="55"/>
    </row>
    <row r="25" spans="1:25">
      <c r="A25" s="55" t="s">
        <v>150</v>
      </c>
      <c r="B25" s="20">
        <f>B8*2000</f>
        <v>16599.235011958288</v>
      </c>
      <c r="C25" s="20">
        <f t="shared" ref="C25:P25" si="14">C8*2000</f>
        <v>36163.421566087294</v>
      </c>
      <c r="D25" s="20">
        <f t="shared" si="14"/>
        <v>107158.72658812159</v>
      </c>
      <c r="E25" s="20">
        <f t="shared" si="14"/>
        <v>880219.73132809449</v>
      </c>
      <c r="F25" s="20">
        <f t="shared" si="14"/>
        <v>880219.73132809449</v>
      </c>
      <c r="G25" s="20">
        <f t="shared" si="14"/>
        <v>880219.73132809449</v>
      </c>
      <c r="H25" s="20">
        <f t="shared" si="14"/>
        <v>1626026.7299740631</v>
      </c>
      <c r="I25" s="20">
        <f t="shared" si="14"/>
        <v>1626026.7299740631</v>
      </c>
      <c r="J25" s="20">
        <f t="shared" si="14"/>
        <v>1626026.7299740631</v>
      </c>
      <c r="K25" s="20">
        <f t="shared" si="14"/>
        <v>1873222.1130452829</v>
      </c>
      <c r="L25" s="20">
        <f t="shared" si="14"/>
        <v>1873222.1130452829</v>
      </c>
      <c r="M25" s="20">
        <f t="shared" si="14"/>
        <v>2305906.8339812015</v>
      </c>
      <c r="N25" s="71">
        <f t="shared" si="14"/>
        <v>2775528.9273297214</v>
      </c>
      <c r="O25" s="73">
        <f t="shared" si="14"/>
        <v>2407405.0454883934</v>
      </c>
      <c r="P25" s="69">
        <f t="shared" si="14"/>
        <v>64560.839094591516</v>
      </c>
      <c r="Q25" s="55"/>
      <c r="R25" s="55"/>
      <c r="S25" s="55"/>
      <c r="T25" s="55"/>
      <c r="U25" s="55"/>
      <c r="V25" s="55"/>
      <c r="W25" s="55"/>
      <c r="X25" s="55"/>
      <c r="Y25" s="55"/>
    </row>
    <row r="26" spans="1:25">
      <c r="A26" s="55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71"/>
      <c r="O26" s="73"/>
      <c r="P26" s="69"/>
      <c r="Q26" s="55"/>
      <c r="R26" s="55"/>
      <c r="S26" s="55"/>
      <c r="T26" s="55"/>
      <c r="U26" s="55"/>
      <c r="V26" s="55"/>
      <c r="W26" s="55"/>
      <c r="X26" s="55"/>
      <c r="Y26" s="55"/>
    </row>
    <row r="27" spans="1:25">
      <c r="A27" s="14" t="s">
        <v>145</v>
      </c>
    </row>
    <row r="28" spans="1:25">
      <c r="A28" s="67">
        <v>5.0000000000000001E-3</v>
      </c>
      <c r="B28" s="20">
        <f t="shared" ref="B28:P28" si="15">B4*$A$28</f>
        <v>10789.502757772887</v>
      </c>
      <c r="C28" s="20">
        <f t="shared" si="15"/>
        <v>23506.224017956742</v>
      </c>
      <c r="D28" s="20">
        <f t="shared" si="15"/>
        <v>69653.172282279033</v>
      </c>
      <c r="E28" s="20">
        <f t="shared" si="15"/>
        <v>572142.82536326139</v>
      </c>
      <c r="F28" s="20">
        <f t="shared" si="15"/>
        <v>572142.82536326139</v>
      </c>
      <c r="G28" s="20">
        <f t="shared" si="15"/>
        <v>572142.82536326139</v>
      </c>
      <c r="H28" s="20">
        <f t="shared" si="15"/>
        <v>1056917.3744831411</v>
      </c>
      <c r="I28" s="20">
        <f t="shared" si="15"/>
        <v>1056917.3744831411</v>
      </c>
      <c r="J28" s="20">
        <f t="shared" si="15"/>
        <v>1056917.3744831411</v>
      </c>
      <c r="K28" s="20">
        <f t="shared" si="15"/>
        <v>1217594.3734794338</v>
      </c>
      <c r="L28" s="20">
        <f t="shared" si="15"/>
        <v>1217594.3734794338</v>
      </c>
      <c r="M28" s="20">
        <f t="shared" si="15"/>
        <v>1498839.4420877811</v>
      </c>
      <c r="N28" s="71">
        <f t="shared" si="15"/>
        <v>1804093.8027643189</v>
      </c>
      <c r="O28" s="73">
        <f t="shared" si="15"/>
        <v>1564813.2795674559</v>
      </c>
      <c r="P28" s="69">
        <f t="shared" si="15"/>
        <v>41964.545411484483</v>
      </c>
    </row>
    <row r="29" spans="1:25">
      <c r="A29" s="67">
        <v>6.0000000000000001E-3</v>
      </c>
      <c r="B29" s="20">
        <f>B4*$A$29</f>
        <v>12947.403309327465</v>
      </c>
      <c r="C29" s="20">
        <f t="shared" ref="C29:P29" si="16">C4*$A$29</f>
        <v>28207.468821548089</v>
      </c>
      <c r="D29" s="20">
        <f t="shared" si="16"/>
        <v>83583.806738734842</v>
      </c>
      <c r="E29" s="20">
        <f t="shared" si="16"/>
        <v>686571.39043591369</v>
      </c>
      <c r="F29" s="20">
        <f t="shared" si="16"/>
        <v>686571.39043591369</v>
      </c>
      <c r="G29" s="20">
        <f t="shared" si="16"/>
        <v>686571.39043591369</v>
      </c>
      <c r="H29" s="20">
        <f t="shared" si="16"/>
        <v>1268300.8493797693</v>
      </c>
      <c r="I29" s="20">
        <f t="shared" si="16"/>
        <v>1268300.8493797693</v>
      </c>
      <c r="J29" s="20">
        <f t="shared" si="16"/>
        <v>1268300.8493797693</v>
      </c>
      <c r="K29" s="20">
        <f t="shared" si="16"/>
        <v>1461113.2481753207</v>
      </c>
      <c r="L29" s="20">
        <f t="shared" si="16"/>
        <v>1461113.2481753207</v>
      </c>
      <c r="M29" s="20">
        <f t="shared" si="16"/>
        <v>1798607.3305053373</v>
      </c>
      <c r="N29" s="71">
        <f t="shared" si="16"/>
        <v>2164912.5633171825</v>
      </c>
      <c r="O29" s="73">
        <f t="shared" si="16"/>
        <v>1877775.9354809471</v>
      </c>
      <c r="P29" s="69">
        <f t="shared" si="16"/>
        <v>50357.454493781384</v>
      </c>
      <c r="Q29" s="55"/>
      <c r="R29" s="55"/>
      <c r="S29" s="55"/>
      <c r="T29" s="55"/>
      <c r="U29" s="55"/>
      <c r="V29" s="55"/>
      <c r="W29" s="55"/>
      <c r="X29" s="55"/>
      <c r="Y29" s="55"/>
    </row>
    <row r="30" spans="1:25">
      <c r="A30" s="67">
        <v>7.4999999999999997E-3</v>
      </c>
      <c r="B30" s="20">
        <f t="shared" ref="B30:P30" si="17">B4*$A$30</f>
        <v>16184.25413665933</v>
      </c>
      <c r="C30" s="20">
        <f t="shared" si="17"/>
        <v>35259.336026935111</v>
      </c>
      <c r="D30" s="20">
        <f t="shared" si="17"/>
        <v>104479.75842341855</v>
      </c>
      <c r="E30" s="20">
        <f t="shared" si="17"/>
        <v>858214.23804489209</v>
      </c>
      <c r="F30" s="20">
        <f t="shared" si="17"/>
        <v>858214.23804489209</v>
      </c>
      <c r="G30" s="20">
        <f t="shared" si="17"/>
        <v>858214.23804489209</v>
      </c>
      <c r="H30" s="20">
        <f t="shared" si="17"/>
        <v>1585376.0617247114</v>
      </c>
      <c r="I30" s="20">
        <f t="shared" si="17"/>
        <v>1585376.0617247114</v>
      </c>
      <c r="J30" s="20">
        <f t="shared" si="17"/>
        <v>1585376.0617247114</v>
      </c>
      <c r="K30" s="20">
        <f t="shared" si="17"/>
        <v>1826391.5602191507</v>
      </c>
      <c r="L30" s="20">
        <f t="shared" si="17"/>
        <v>1826391.5602191507</v>
      </c>
      <c r="M30" s="20">
        <f t="shared" si="17"/>
        <v>2248259.1631316715</v>
      </c>
      <c r="N30" s="71">
        <f t="shared" si="17"/>
        <v>2706140.7041464783</v>
      </c>
      <c r="O30" s="73">
        <f t="shared" si="17"/>
        <v>2347219.9193511838</v>
      </c>
      <c r="P30" s="69">
        <f t="shared" si="17"/>
        <v>62946.818117226721</v>
      </c>
    </row>
    <row r="31" spans="1:25">
      <c r="A31" s="67">
        <v>0.01</v>
      </c>
      <c r="B31" s="20">
        <f t="shared" ref="B31:P31" si="18">B4*$A$31</f>
        <v>21579.005515545774</v>
      </c>
      <c r="C31" s="20">
        <f t="shared" si="18"/>
        <v>47012.448035913483</v>
      </c>
      <c r="D31" s="20">
        <f t="shared" si="18"/>
        <v>139306.34456455807</v>
      </c>
      <c r="E31" s="20">
        <f t="shared" si="18"/>
        <v>1144285.6507265228</v>
      </c>
      <c r="F31" s="20">
        <f t="shared" si="18"/>
        <v>1144285.6507265228</v>
      </c>
      <c r="G31" s="20">
        <f t="shared" si="18"/>
        <v>1144285.6507265228</v>
      </c>
      <c r="H31" s="20">
        <f t="shared" si="18"/>
        <v>2113834.7489662822</v>
      </c>
      <c r="I31" s="20">
        <f t="shared" si="18"/>
        <v>2113834.7489662822</v>
      </c>
      <c r="J31" s="20">
        <f t="shared" si="18"/>
        <v>2113834.7489662822</v>
      </c>
      <c r="K31" s="20">
        <f t="shared" si="18"/>
        <v>2435188.7469588676</v>
      </c>
      <c r="L31" s="20">
        <f t="shared" si="18"/>
        <v>2435188.7469588676</v>
      </c>
      <c r="M31" s="20">
        <f t="shared" si="18"/>
        <v>2997678.8841755623</v>
      </c>
      <c r="N31" s="71">
        <f t="shared" si="18"/>
        <v>3608187.6055286378</v>
      </c>
      <c r="O31" s="73">
        <f t="shared" si="18"/>
        <v>3129626.5591349117</v>
      </c>
      <c r="P31" s="69">
        <f t="shared" si="18"/>
        <v>83929.090822968967</v>
      </c>
    </row>
    <row r="32" spans="1:25">
      <c r="A32" s="67">
        <v>1.2500000000000001E-2</v>
      </c>
      <c r="B32" s="20">
        <f t="shared" ref="B32:P32" si="19">B4*$A$32</f>
        <v>26973.756894432219</v>
      </c>
      <c r="C32" s="20">
        <f t="shared" si="19"/>
        <v>58765.560044891856</v>
      </c>
      <c r="D32" s="20">
        <f t="shared" si="19"/>
        <v>174132.9307056976</v>
      </c>
      <c r="E32" s="20">
        <f t="shared" si="19"/>
        <v>1430357.0634081536</v>
      </c>
      <c r="F32" s="20">
        <f t="shared" si="19"/>
        <v>1430357.0634081536</v>
      </c>
      <c r="G32" s="20">
        <f t="shared" si="19"/>
        <v>1430357.0634081536</v>
      </c>
      <c r="H32" s="20">
        <f t="shared" si="19"/>
        <v>2642293.4362078528</v>
      </c>
      <c r="I32" s="20">
        <f t="shared" si="19"/>
        <v>2642293.4362078528</v>
      </c>
      <c r="J32" s="20">
        <f t="shared" si="19"/>
        <v>2642293.4362078528</v>
      </c>
      <c r="K32" s="20">
        <f t="shared" si="19"/>
        <v>3043985.9336985848</v>
      </c>
      <c r="L32" s="20">
        <f t="shared" si="19"/>
        <v>3043985.9336985848</v>
      </c>
      <c r="M32" s="20">
        <f t="shared" si="19"/>
        <v>3747098.6052194531</v>
      </c>
      <c r="N32" s="71">
        <f t="shared" si="19"/>
        <v>4510234.5069107972</v>
      </c>
      <c r="O32" s="73">
        <f t="shared" si="19"/>
        <v>3912033.1989186401</v>
      </c>
      <c r="P32" s="69">
        <f t="shared" si="19"/>
        <v>104911.36352871121</v>
      </c>
    </row>
    <row r="33" spans="1:16">
      <c r="A33" s="67">
        <v>1.4999999999999999E-2</v>
      </c>
      <c r="B33" s="20">
        <f t="shared" ref="B33:P33" si="20">B4*$A$33</f>
        <v>32368.508273318661</v>
      </c>
      <c r="C33" s="20">
        <f t="shared" si="20"/>
        <v>70518.672053870221</v>
      </c>
      <c r="D33" s="20">
        <f t="shared" si="20"/>
        <v>208959.5168468371</v>
      </c>
      <c r="E33" s="20">
        <f t="shared" si="20"/>
        <v>1716428.4760897842</v>
      </c>
      <c r="F33" s="20">
        <f t="shared" si="20"/>
        <v>1716428.4760897842</v>
      </c>
      <c r="G33" s="20">
        <f t="shared" si="20"/>
        <v>1716428.4760897842</v>
      </c>
      <c r="H33" s="20">
        <f t="shared" si="20"/>
        <v>3170752.1234494229</v>
      </c>
      <c r="I33" s="20">
        <f t="shared" si="20"/>
        <v>3170752.1234494229</v>
      </c>
      <c r="J33" s="20">
        <f t="shared" si="20"/>
        <v>3170752.1234494229</v>
      </c>
      <c r="K33" s="20">
        <f t="shared" si="20"/>
        <v>3652783.1204383015</v>
      </c>
      <c r="L33" s="20">
        <f t="shared" si="20"/>
        <v>3652783.1204383015</v>
      </c>
      <c r="M33" s="20">
        <f t="shared" si="20"/>
        <v>4496518.326263343</v>
      </c>
      <c r="N33" s="71">
        <f t="shared" si="20"/>
        <v>5412281.4082929567</v>
      </c>
      <c r="O33" s="73">
        <f t="shared" si="20"/>
        <v>4694439.8387023676</v>
      </c>
      <c r="P33" s="69">
        <f t="shared" si="20"/>
        <v>125893.63623445344</v>
      </c>
    </row>
    <row r="34" spans="1:16">
      <c r="A34" s="67">
        <v>1.7500000000000002E-2</v>
      </c>
      <c r="B34" s="20">
        <f t="shared" ref="B34:P34" si="21">B4*$A$34</f>
        <v>37763.25965220511</v>
      </c>
      <c r="C34" s="20">
        <f t="shared" si="21"/>
        <v>82271.784062848601</v>
      </c>
      <c r="D34" s="20">
        <f t="shared" si="21"/>
        <v>243786.10298797663</v>
      </c>
      <c r="E34" s="20">
        <f t="shared" si="21"/>
        <v>2002499.888771415</v>
      </c>
      <c r="F34" s="20">
        <f t="shared" si="21"/>
        <v>2002499.888771415</v>
      </c>
      <c r="G34" s="20">
        <f t="shared" si="21"/>
        <v>2002499.888771415</v>
      </c>
      <c r="H34" s="20">
        <f t="shared" si="21"/>
        <v>3699210.8106909939</v>
      </c>
      <c r="I34" s="20">
        <f t="shared" si="21"/>
        <v>3699210.8106909939</v>
      </c>
      <c r="J34" s="20">
        <f t="shared" si="21"/>
        <v>3699210.8106909939</v>
      </c>
      <c r="K34" s="20">
        <f t="shared" si="21"/>
        <v>4261580.3071780186</v>
      </c>
      <c r="L34" s="20">
        <f t="shared" si="21"/>
        <v>4261580.3071780186</v>
      </c>
      <c r="M34" s="20">
        <f t="shared" si="21"/>
        <v>5245938.0473072343</v>
      </c>
      <c r="N34" s="71">
        <f t="shared" si="21"/>
        <v>6314328.309675117</v>
      </c>
      <c r="O34" s="73">
        <f t="shared" si="21"/>
        <v>5476846.4784860965</v>
      </c>
      <c r="P34" s="69">
        <f t="shared" si="21"/>
        <v>146875.90894019572</v>
      </c>
    </row>
    <row r="35" spans="1:16">
      <c r="A35" s="67">
        <v>0.02</v>
      </c>
      <c r="B35" s="20">
        <f t="shared" ref="B35:P35" si="22">B4*$A$35</f>
        <v>43158.011031091548</v>
      </c>
      <c r="C35" s="20">
        <f t="shared" si="22"/>
        <v>94024.896071826966</v>
      </c>
      <c r="D35" s="20">
        <f t="shared" si="22"/>
        <v>278612.68912911613</v>
      </c>
      <c r="E35" s="20">
        <f t="shared" si="22"/>
        <v>2288571.3014530456</v>
      </c>
      <c r="F35" s="20">
        <f t="shared" si="22"/>
        <v>2288571.3014530456</v>
      </c>
      <c r="G35" s="20">
        <f t="shared" si="22"/>
        <v>2288571.3014530456</v>
      </c>
      <c r="H35" s="20">
        <f t="shared" si="22"/>
        <v>4227669.4979325645</v>
      </c>
      <c r="I35" s="20">
        <f t="shared" si="22"/>
        <v>4227669.4979325645</v>
      </c>
      <c r="J35" s="20">
        <f t="shared" si="22"/>
        <v>4227669.4979325645</v>
      </c>
      <c r="K35" s="20">
        <f t="shared" si="22"/>
        <v>4870377.4939177353</v>
      </c>
      <c r="L35" s="20">
        <f t="shared" si="22"/>
        <v>4870377.4939177353</v>
      </c>
      <c r="M35" s="20">
        <f t="shared" si="22"/>
        <v>5995357.7683511246</v>
      </c>
      <c r="N35" s="71">
        <f t="shared" si="22"/>
        <v>7216375.2110572755</v>
      </c>
      <c r="O35" s="73">
        <f t="shared" si="22"/>
        <v>6259253.1182698235</v>
      </c>
      <c r="P35" s="69">
        <f t="shared" si="22"/>
        <v>167858.18164593793</v>
      </c>
    </row>
  </sheetData>
  <pageMargins left="0.7" right="0.7" top="0.75" bottom="0.75" header="0.3" footer="0.3"/>
  <pageSetup paperSize="17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3"/>
  <sheetViews>
    <sheetView zoomScale="110" zoomScaleNormal="110" workbookViewId="0">
      <pane xSplit="6" ySplit="2" topLeftCell="G14" activePane="bottomRight" state="frozenSplit"/>
      <selection pane="topRight" activeCell="F1" sqref="F1"/>
      <selection pane="bottomLeft" activeCell="A3" sqref="A3"/>
      <selection pane="bottomRight" activeCell="E32" sqref="E32"/>
    </sheetView>
  </sheetViews>
  <sheetFormatPr defaultColWidth="9.140625" defaultRowHeight="15"/>
  <cols>
    <col min="1" max="1" width="15" style="36" bestFit="1" customWidth="1"/>
    <col min="2" max="2" width="14.85546875" style="36" bestFit="1" customWidth="1"/>
    <col min="3" max="3" width="16.42578125" style="36" bestFit="1" customWidth="1"/>
    <col min="4" max="4" width="16.42578125" style="44" customWidth="1"/>
    <col min="5" max="5" width="16.42578125" style="36" bestFit="1" customWidth="1"/>
    <col min="6" max="6" width="54.5703125" style="36" customWidth="1"/>
    <col min="7" max="7" width="17.7109375" style="36" customWidth="1"/>
    <col min="8" max="10" width="15" style="36" bestFit="1" customWidth="1"/>
    <col min="11" max="18" width="14.85546875" style="36" bestFit="1" customWidth="1"/>
    <col min="19" max="19" width="14.7109375" style="36" bestFit="1" customWidth="1"/>
    <col min="20" max="38" width="13.85546875" style="36" bestFit="1" customWidth="1"/>
    <col min="39" max="69" width="14.5703125" style="36" bestFit="1" customWidth="1"/>
    <col min="70" max="115" width="10.28515625" style="36" bestFit="1" customWidth="1"/>
    <col min="116" max="16384" width="9.140625" style="36"/>
  </cols>
  <sheetData>
    <row r="1" spans="1:115">
      <c r="H1" s="255" t="s">
        <v>131</v>
      </c>
      <c r="I1" s="255"/>
      <c r="J1" s="255"/>
      <c r="K1" s="255"/>
      <c r="L1" s="255"/>
    </row>
    <row r="2" spans="1:115" s="37" customFormat="1">
      <c r="A2" s="37" t="s">
        <v>66</v>
      </c>
      <c r="B2" s="37" t="s">
        <v>67</v>
      </c>
      <c r="C2" s="37" t="s">
        <v>68</v>
      </c>
      <c r="D2" s="37" t="s">
        <v>114</v>
      </c>
      <c r="E2" s="37" t="s">
        <v>69</v>
      </c>
      <c r="G2" s="40" t="s">
        <v>69</v>
      </c>
      <c r="H2" s="37">
        <v>2019</v>
      </c>
      <c r="I2" s="37">
        <v>2020</v>
      </c>
      <c r="J2" s="37">
        <v>2021</v>
      </c>
      <c r="K2" s="37">
        <v>2022</v>
      </c>
      <c r="L2" s="37">
        <v>2023</v>
      </c>
      <c r="M2" s="37">
        <v>2024</v>
      </c>
      <c r="N2" s="37">
        <v>2025</v>
      </c>
      <c r="O2" s="37">
        <v>2026</v>
      </c>
      <c r="P2" s="37">
        <v>2027</v>
      </c>
      <c r="Q2" s="37">
        <v>2028</v>
      </c>
      <c r="R2" s="37">
        <v>2029</v>
      </c>
      <c r="S2" s="37">
        <v>2030</v>
      </c>
      <c r="T2" s="37">
        <v>2031</v>
      </c>
      <c r="U2" s="37">
        <v>2032</v>
      </c>
      <c r="V2" s="37">
        <v>2033</v>
      </c>
      <c r="W2" s="37">
        <v>2034</v>
      </c>
      <c r="X2" s="37">
        <v>2035</v>
      </c>
      <c r="Y2" s="37">
        <v>2036</v>
      </c>
      <c r="Z2" s="37">
        <v>2037</v>
      </c>
      <c r="AA2" s="37">
        <v>2038</v>
      </c>
      <c r="AB2" s="37">
        <v>2039</v>
      </c>
      <c r="AC2" s="37">
        <v>2040</v>
      </c>
      <c r="AD2" s="37">
        <v>2041</v>
      </c>
      <c r="AE2" s="37">
        <v>2042</v>
      </c>
      <c r="AF2" s="37">
        <v>2043</v>
      </c>
      <c r="AG2" s="37">
        <v>2044</v>
      </c>
      <c r="AH2" s="37">
        <v>2045</v>
      </c>
      <c r="AI2" s="37">
        <v>2046</v>
      </c>
      <c r="AJ2" s="37">
        <v>2047</v>
      </c>
      <c r="AK2" s="37">
        <v>2048</v>
      </c>
      <c r="AL2" s="37">
        <v>2049</v>
      </c>
      <c r="AM2" s="37">
        <v>2050</v>
      </c>
      <c r="AN2" s="37">
        <v>2051</v>
      </c>
      <c r="AO2" s="37">
        <v>2052</v>
      </c>
      <c r="AP2" s="37">
        <v>2053</v>
      </c>
      <c r="AQ2" s="37">
        <v>2054</v>
      </c>
      <c r="AR2" s="37">
        <v>2055</v>
      </c>
      <c r="AS2" s="37">
        <v>2056</v>
      </c>
      <c r="AT2" s="37">
        <v>2057</v>
      </c>
      <c r="AU2" s="37">
        <v>2058</v>
      </c>
      <c r="AV2" s="37">
        <v>2059</v>
      </c>
      <c r="AW2" s="37">
        <v>2060</v>
      </c>
      <c r="AX2" s="37">
        <v>2061</v>
      </c>
      <c r="AY2" s="37">
        <v>2062</v>
      </c>
      <c r="AZ2" s="37">
        <v>2063</v>
      </c>
      <c r="BA2" s="37">
        <v>2064</v>
      </c>
      <c r="BB2" s="37">
        <v>2065</v>
      </c>
      <c r="BC2" s="37">
        <v>2066</v>
      </c>
      <c r="BD2" s="37">
        <v>2067</v>
      </c>
      <c r="BE2" s="37">
        <v>2068</v>
      </c>
      <c r="BF2" s="37">
        <v>2069</v>
      </c>
      <c r="BG2" s="37">
        <v>2070</v>
      </c>
      <c r="BH2" s="37">
        <v>2071</v>
      </c>
      <c r="BI2" s="37">
        <v>2072</v>
      </c>
      <c r="BJ2" s="37">
        <v>2073</v>
      </c>
      <c r="BK2" s="37">
        <v>2074</v>
      </c>
      <c r="BL2" s="37">
        <v>2075</v>
      </c>
      <c r="BM2" s="37">
        <v>2076</v>
      </c>
      <c r="BN2" s="37">
        <v>2077</v>
      </c>
      <c r="BO2" s="37">
        <v>2078</v>
      </c>
      <c r="BP2" s="37">
        <v>2079</v>
      </c>
      <c r="BQ2" s="37">
        <v>2080</v>
      </c>
      <c r="BR2" s="37">
        <v>2081</v>
      </c>
      <c r="BS2" s="37">
        <v>2082</v>
      </c>
      <c r="BT2" s="37">
        <v>2083</v>
      </c>
      <c r="BU2" s="37">
        <v>2084</v>
      </c>
      <c r="BV2" s="37">
        <v>2085</v>
      </c>
      <c r="BW2" s="37">
        <v>2086</v>
      </c>
      <c r="BX2" s="37">
        <v>2087</v>
      </c>
      <c r="BY2" s="37">
        <v>2088</v>
      </c>
      <c r="BZ2" s="37">
        <v>2089</v>
      </c>
      <c r="CA2" s="37">
        <v>2090</v>
      </c>
      <c r="CB2" s="37">
        <v>2091</v>
      </c>
      <c r="CC2" s="37">
        <v>2092</v>
      </c>
      <c r="CD2" s="37">
        <v>2093</v>
      </c>
      <c r="CE2" s="37">
        <v>2094</v>
      </c>
      <c r="CF2" s="37">
        <v>2095</v>
      </c>
      <c r="CG2" s="37">
        <v>2096</v>
      </c>
      <c r="CH2" s="37">
        <v>2097</v>
      </c>
      <c r="CI2" s="37">
        <v>2098</v>
      </c>
      <c r="CJ2" s="37">
        <v>2099</v>
      </c>
      <c r="CK2" s="37">
        <v>2100</v>
      </c>
      <c r="CL2" s="37">
        <v>2101</v>
      </c>
      <c r="CM2" s="37">
        <v>2102</v>
      </c>
      <c r="CN2" s="37">
        <v>2103</v>
      </c>
      <c r="CO2" s="37">
        <v>2104</v>
      </c>
      <c r="CP2" s="37">
        <v>2105</v>
      </c>
      <c r="CQ2" s="37">
        <v>2106</v>
      </c>
      <c r="CR2" s="37">
        <v>2107</v>
      </c>
      <c r="CS2" s="37">
        <v>2108</v>
      </c>
      <c r="CT2" s="37">
        <v>2109</v>
      </c>
      <c r="CU2" s="37">
        <v>2110</v>
      </c>
      <c r="CV2" s="37">
        <v>2111</v>
      </c>
      <c r="CW2" s="37">
        <v>2112</v>
      </c>
      <c r="CX2" s="37">
        <v>2113</v>
      </c>
      <c r="CY2" s="37">
        <v>2114</v>
      </c>
      <c r="CZ2" s="37">
        <v>2115</v>
      </c>
      <c r="DA2" s="37">
        <v>2116</v>
      </c>
      <c r="DB2" s="37">
        <v>2117</v>
      </c>
      <c r="DC2" s="37">
        <v>2118</v>
      </c>
      <c r="DD2" s="37">
        <v>2119</v>
      </c>
      <c r="DE2" s="37">
        <v>2120</v>
      </c>
      <c r="DF2" s="37">
        <v>2121</v>
      </c>
      <c r="DG2" s="37">
        <v>2122</v>
      </c>
      <c r="DH2" s="37">
        <v>2123</v>
      </c>
      <c r="DI2" s="37">
        <v>2124</v>
      </c>
      <c r="DJ2" s="37">
        <v>2125</v>
      </c>
      <c r="DK2" s="37">
        <v>2126</v>
      </c>
    </row>
    <row r="3" spans="1:115">
      <c r="E3" s="36">
        <f>E28-(E20+E10+E5)</f>
        <v>521970831.98820496</v>
      </c>
      <c r="F3" s="36" t="s">
        <v>84</v>
      </c>
      <c r="G3" s="38">
        <f>G28-(G5+G10+G20)</f>
        <v>13221900935.416904</v>
      </c>
      <c r="H3" s="38">
        <f>H28-(H5+H10+H20)</f>
        <v>-12969225.391652629</v>
      </c>
      <c r="I3" s="38">
        <f t="shared" ref="I3:BQ3" si="0">I28-(I5+I10+I20)</f>
        <v>-25996674.758856937</v>
      </c>
      <c r="J3" s="38">
        <f t="shared" si="0"/>
        <v>-8972245.4183384776</v>
      </c>
      <c r="K3" s="38">
        <f t="shared" si="0"/>
        <v>466534758.25682783</v>
      </c>
      <c r="L3" s="38">
        <f>L28-(L5+L10+L20)</f>
        <v>93424427.899684906</v>
      </c>
      <c r="M3" s="38">
        <f>M28-(M5+M10+M20)</f>
        <v>-409143045.31460077</v>
      </c>
      <c r="N3" s="38">
        <f t="shared" si="0"/>
        <v>1362998857.624691</v>
      </c>
      <c r="O3" s="38">
        <f t="shared" si="0"/>
        <v>964674241.55326223</v>
      </c>
      <c r="P3" s="38">
        <f t="shared" si="0"/>
        <v>431921054.05326211</v>
      </c>
      <c r="Q3" s="38">
        <f t="shared" si="0"/>
        <v>719733593.62845135</v>
      </c>
      <c r="R3" s="38">
        <f t="shared" si="0"/>
        <v>569908977.55702269</v>
      </c>
      <c r="S3" s="38">
        <f t="shared" si="0"/>
        <v>569908977.55702281</v>
      </c>
      <c r="T3" s="38">
        <f>T28-(T5+T10+T20)</f>
        <v>569908977.55702305</v>
      </c>
      <c r="U3" s="38">
        <f t="shared" si="0"/>
        <v>569908977.55702305</v>
      </c>
      <c r="V3" s="38">
        <f t="shared" si="0"/>
        <v>569908977.55702305</v>
      </c>
      <c r="W3" s="38">
        <f t="shared" si="0"/>
        <v>0</v>
      </c>
      <c r="X3" s="38">
        <f t="shared" si="0"/>
        <v>0</v>
      </c>
      <c r="Y3" s="38">
        <f t="shared" si="0"/>
        <v>0</v>
      </c>
      <c r="Z3" s="38">
        <f t="shared" si="0"/>
        <v>0</v>
      </c>
      <c r="AA3" s="38">
        <f t="shared" si="0"/>
        <v>0</v>
      </c>
      <c r="AB3" s="38">
        <f t="shared" si="0"/>
        <v>0</v>
      </c>
      <c r="AC3" s="38">
        <f t="shared" si="0"/>
        <v>0</v>
      </c>
      <c r="AD3" s="38">
        <f t="shared" si="0"/>
        <v>0</v>
      </c>
      <c r="AE3" s="38">
        <f t="shared" si="0"/>
        <v>0</v>
      </c>
      <c r="AF3" s="38">
        <f t="shared" si="0"/>
        <v>0</v>
      </c>
      <c r="AG3" s="38">
        <f t="shared" si="0"/>
        <v>0</v>
      </c>
      <c r="AH3" s="38">
        <f t="shared" si="0"/>
        <v>0</v>
      </c>
      <c r="AI3" s="38">
        <f t="shared" si="0"/>
        <v>0</v>
      </c>
      <c r="AJ3" s="38">
        <f t="shared" si="0"/>
        <v>0</v>
      </c>
      <c r="AK3" s="38">
        <f t="shared" si="0"/>
        <v>0</v>
      </c>
      <c r="AL3" s="38">
        <f t="shared" si="0"/>
        <v>0</v>
      </c>
      <c r="AM3" s="38">
        <f t="shared" si="0"/>
        <v>0</v>
      </c>
      <c r="AN3" s="38">
        <f t="shared" si="0"/>
        <v>0</v>
      </c>
      <c r="AO3" s="38">
        <f t="shared" si="0"/>
        <v>0</v>
      </c>
      <c r="AP3" s="38">
        <f t="shared" si="0"/>
        <v>0</v>
      </c>
      <c r="AQ3" s="38">
        <f t="shared" si="0"/>
        <v>0</v>
      </c>
      <c r="AR3" s="38">
        <f t="shared" si="0"/>
        <v>0</v>
      </c>
      <c r="AS3" s="38">
        <f t="shared" si="0"/>
        <v>0</v>
      </c>
      <c r="AT3" s="38">
        <f t="shared" si="0"/>
        <v>0</v>
      </c>
      <c r="AU3" s="38">
        <f t="shared" si="0"/>
        <v>0</v>
      </c>
      <c r="AV3" s="38">
        <f t="shared" si="0"/>
        <v>0</v>
      </c>
      <c r="AW3" s="38">
        <f t="shared" si="0"/>
        <v>0</v>
      </c>
      <c r="AX3" s="38">
        <f t="shared" si="0"/>
        <v>0</v>
      </c>
      <c r="AY3" s="38">
        <f t="shared" si="0"/>
        <v>0</v>
      </c>
      <c r="AZ3" s="38">
        <f t="shared" si="0"/>
        <v>0</v>
      </c>
      <c r="BA3" s="38">
        <f t="shared" si="0"/>
        <v>0</v>
      </c>
      <c r="BB3" s="38">
        <f t="shared" si="0"/>
        <v>0</v>
      </c>
      <c r="BC3" s="38">
        <f t="shared" si="0"/>
        <v>0</v>
      </c>
      <c r="BD3" s="38">
        <f t="shared" si="0"/>
        <v>0</v>
      </c>
      <c r="BE3" s="38">
        <f t="shared" si="0"/>
        <v>0</v>
      </c>
      <c r="BF3" s="38">
        <f t="shared" si="0"/>
        <v>0</v>
      </c>
      <c r="BG3" s="38">
        <f t="shared" si="0"/>
        <v>0</v>
      </c>
      <c r="BH3" s="38">
        <f t="shared" si="0"/>
        <v>0</v>
      </c>
      <c r="BI3" s="38">
        <f t="shared" si="0"/>
        <v>0</v>
      </c>
      <c r="BJ3" s="38">
        <f t="shared" si="0"/>
        <v>0</v>
      </c>
      <c r="BK3" s="38">
        <f t="shared" si="0"/>
        <v>0</v>
      </c>
      <c r="BL3" s="38">
        <f t="shared" si="0"/>
        <v>0</v>
      </c>
      <c r="BM3" s="38">
        <f t="shared" si="0"/>
        <v>0</v>
      </c>
      <c r="BN3" s="38">
        <f t="shared" si="0"/>
        <v>0</v>
      </c>
      <c r="BO3" s="38">
        <f t="shared" si="0"/>
        <v>0</v>
      </c>
      <c r="BP3" s="38">
        <f t="shared" si="0"/>
        <v>0</v>
      </c>
      <c r="BQ3" s="38">
        <f t="shared" si="0"/>
        <v>0</v>
      </c>
      <c r="BR3" s="38">
        <f t="shared" ref="BR3:DK3" si="1">BR28-(BR5+BR10+BR20)</f>
        <v>0</v>
      </c>
      <c r="BS3" s="38">
        <f t="shared" si="1"/>
        <v>0</v>
      </c>
      <c r="BT3" s="38">
        <f t="shared" si="1"/>
        <v>0</v>
      </c>
      <c r="BU3" s="38">
        <f t="shared" si="1"/>
        <v>0</v>
      </c>
      <c r="BV3" s="38">
        <f t="shared" si="1"/>
        <v>0</v>
      </c>
      <c r="BW3" s="38">
        <f t="shared" si="1"/>
        <v>0</v>
      </c>
      <c r="BX3" s="38">
        <f t="shared" si="1"/>
        <v>0</v>
      </c>
      <c r="BY3" s="38">
        <f t="shared" si="1"/>
        <v>0</v>
      </c>
      <c r="BZ3" s="38">
        <f t="shared" si="1"/>
        <v>0</v>
      </c>
      <c r="CA3" s="38">
        <f t="shared" si="1"/>
        <v>0</v>
      </c>
      <c r="CB3" s="38">
        <f t="shared" si="1"/>
        <v>0</v>
      </c>
      <c r="CC3" s="38">
        <f t="shared" si="1"/>
        <v>0</v>
      </c>
      <c r="CD3" s="38">
        <f t="shared" si="1"/>
        <v>0</v>
      </c>
      <c r="CE3" s="38">
        <f t="shared" si="1"/>
        <v>0</v>
      </c>
      <c r="CF3" s="38">
        <f t="shared" si="1"/>
        <v>0</v>
      </c>
      <c r="CG3" s="38">
        <f t="shared" si="1"/>
        <v>0</v>
      </c>
      <c r="CH3" s="38">
        <f t="shared" si="1"/>
        <v>0</v>
      </c>
      <c r="CI3" s="38">
        <f t="shared" si="1"/>
        <v>0</v>
      </c>
      <c r="CJ3" s="38">
        <f t="shared" si="1"/>
        <v>0</v>
      </c>
      <c r="CK3" s="38">
        <f t="shared" si="1"/>
        <v>0</v>
      </c>
      <c r="CL3" s="38">
        <f t="shared" si="1"/>
        <v>0</v>
      </c>
      <c r="CM3" s="38">
        <f t="shared" si="1"/>
        <v>0</v>
      </c>
      <c r="CN3" s="38">
        <f t="shared" si="1"/>
        <v>0</v>
      </c>
      <c r="CO3" s="38">
        <f t="shared" si="1"/>
        <v>0</v>
      </c>
      <c r="CP3" s="38">
        <f t="shared" si="1"/>
        <v>0</v>
      </c>
      <c r="CQ3" s="38">
        <f t="shared" si="1"/>
        <v>0</v>
      </c>
      <c r="CR3" s="38">
        <f t="shared" si="1"/>
        <v>0</v>
      </c>
      <c r="CS3" s="38">
        <f t="shared" si="1"/>
        <v>0</v>
      </c>
      <c r="CT3" s="38">
        <f t="shared" si="1"/>
        <v>0</v>
      </c>
      <c r="CU3" s="38">
        <f t="shared" si="1"/>
        <v>0</v>
      </c>
      <c r="CV3" s="38">
        <f t="shared" si="1"/>
        <v>0</v>
      </c>
      <c r="CW3" s="38">
        <f t="shared" si="1"/>
        <v>0</v>
      </c>
      <c r="CX3" s="38">
        <f t="shared" si="1"/>
        <v>0</v>
      </c>
      <c r="CY3" s="38">
        <f t="shared" si="1"/>
        <v>0</v>
      </c>
      <c r="CZ3" s="38">
        <f t="shared" si="1"/>
        <v>0</v>
      </c>
      <c r="DA3" s="38">
        <f t="shared" si="1"/>
        <v>0</v>
      </c>
      <c r="DB3" s="38">
        <f t="shared" si="1"/>
        <v>0</v>
      </c>
      <c r="DC3" s="38">
        <f t="shared" si="1"/>
        <v>0</v>
      </c>
      <c r="DD3" s="38">
        <f t="shared" si="1"/>
        <v>0</v>
      </c>
      <c r="DE3" s="38">
        <f t="shared" si="1"/>
        <v>0</v>
      </c>
      <c r="DF3" s="38">
        <f t="shared" si="1"/>
        <v>0</v>
      </c>
      <c r="DG3" s="38">
        <f t="shared" si="1"/>
        <v>0</v>
      </c>
      <c r="DH3" s="38">
        <f t="shared" si="1"/>
        <v>0</v>
      </c>
      <c r="DI3" s="38">
        <f t="shared" si="1"/>
        <v>0</v>
      </c>
      <c r="DJ3" s="38">
        <f t="shared" si="1"/>
        <v>0</v>
      </c>
      <c r="DK3" s="38">
        <f t="shared" si="1"/>
        <v>0</v>
      </c>
    </row>
    <row r="4" spans="1:115" s="44" customFormat="1" ht="15.75" thickBot="1"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</row>
    <row r="5" spans="1:115" s="61" customFormat="1">
      <c r="D5" s="61">
        <f>SUM(D6:D8)</f>
        <v>729000000.00000095</v>
      </c>
      <c r="E5" s="61">
        <f>SUM(A5:D5)</f>
        <v>729000000.00000095</v>
      </c>
      <c r="F5" s="61" t="s">
        <v>130</v>
      </c>
      <c r="G5" s="61">
        <f>SUM(G7:G8)</f>
        <v>729000000.00000095</v>
      </c>
      <c r="H5" s="61">
        <f t="shared" ref="H5:BQ5" si="2">SUM(H7:H8)</f>
        <v>0</v>
      </c>
      <c r="I5" s="61">
        <f t="shared" si="2"/>
        <v>0</v>
      </c>
      <c r="J5" s="61">
        <f t="shared" si="2"/>
        <v>0</v>
      </c>
      <c r="K5" s="61">
        <f t="shared" si="2"/>
        <v>0</v>
      </c>
      <c r="L5" s="61">
        <f t="shared" si="2"/>
        <v>0</v>
      </c>
      <c r="M5" s="61">
        <f t="shared" si="2"/>
        <v>0</v>
      </c>
      <c r="N5" s="61">
        <f t="shared" si="2"/>
        <v>0</v>
      </c>
      <c r="O5" s="61">
        <f t="shared" si="2"/>
        <v>0</v>
      </c>
      <c r="P5" s="61">
        <f t="shared" si="2"/>
        <v>0</v>
      </c>
      <c r="Q5" s="61">
        <f t="shared" si="2"/>
        <v>0</v>
      </c>
      <c r="R5" s="61">
        <f t="shared" si="2"/>
        <v>0</v>
      </c>
      <c r="S5" s="61">
        <f t="shared" si="2"/>
        <v>7515463.9175257739</v>
      </c>
      <c r="T5" s="61">
        <f t="shared" si="2"/>
        <v>7515463.9175257739</v>
      </c>
      <c r="U5" s="61">
        <f t="shared" si="2"/>
        <v>7515463.9175257739</v>
      </c>
      <c r="V5" s="61">
        <f t="shared" si="2"/>
        <v>7515463.9175257739</v>
      </c>
      <c r="W5" s="61">
        <f t="shared" si="2"/>
        <v>7515463.9175257739</v>
      </c>
      <c r="X5" s="61">
        <f t="shared" si="2"/>
        <v>7515463.9175257739</v>
      </c>
      <c r="Y5" s="61">
        <f t="shared" si="2"/>
        <v>7515463.9175257739</v>
      </c>
      <c r="Z5" s="61">
        <f t="shared" si="2"/>
        <v>7515463.9175257739</v>
      </c>
      <c r="AA5" s="61">
        <f t="shared" si="2"/>
        <v>7515463.9175257739</v>
      </c>
      <c r="AB5" s="61">
        <f t="shared" si="2"/>
        <v>7515463.9175257739</v>
      </c>
      <c r="AC5" s="61">
        <f t="shared" si="2"/>
        <v>7515463.9175257739</v>
      </c>
      <c r="AD5" s="61">
        <f t="shared" si="2"/>
        <v>7515463.9175257739</v>
      </c>
      <c r="AE5" s="61">
        <f t="shared" si="2"/>
        <v>7515463.9175257739</v>
      </c>
      <c r="AF5" s="61">
        <f t="shared" si="2"/>
        <v>7515463.9175257739</v>
      </c>
      <c r="AG5" s="61">
        <f t="shared" si="2"/>
        <v>7515463.9175257739</v>
      </c>
      <c r="AH5" s="61">
        <f t="shared" si="2"/>
        <v>7515463.9175257739</v>
      </c>
      <c r="AI5" s="61">
        <f t="shared" si="2"/>
        <v>7515463.9175257739</v>
      </c>
      <c r="AJ5" s="61">
        <f t="shared" si="2"/>
        <v>7515463.9175257739</v>
      </c>
      <c r="AK5" s="61">
        <f t="shared" si="2"/>
        <v>7515463.9175257739</v>
      </c>
      <c r="AL5" s="61">
        <f t="shared" si="2"/>
        <v>7515463.9175257739</v>
      </c>
      <c r="AM5" s="61">
        <f t="shared" si="2"/>
        <v>7515463.9175257739</v>
      </c>
      <c r="AN5" s="61">
        <f t="shared" si="2"/>
        <v>7515463.9175257739</v>
      </c>
      <c r="AO5" s="61">
        <f t="shared" si="2"/>
        <v>7515463.9175257739</v>
      </c>
      <c r="AP5" s="61">
        <f t="shared" si="2"/>
        <v>7515463.9175257739</v>
      </c>
      <c r="AQ5" s="61">
        <f t="shared" si="2"/>
        <v>7515463.9175257739</v>
      </c>
      <c r="AR5" s="61">
        <f t="shared" si="2"/>
        <v>7515463.9175257739</v>
      </c>
      <c r="AS5" s="61">
        <f t="shared" si="2"/>
        <v>7515463.9175257739</v>
      </c>
      <c r="AT5" s="61">
        <f t="shared" si="2"/>
        <v>7515463.9175257739</v>
      </c>
      <c r="AU5" s="61">
        <f t="shared" si="2"/>
        <v>7515463.9175257739</v>
      </c>
      <c r="AV5" s="61">
        <f t="shared" si="2"/>
        <v>7515463.9175257739</v>
      </c>
      <c r="AW5" s="61">
        <f t="shared" si="2"/>
        <v>7515463.9175257739</v>
      </c>
      <c r="AX5" s="61">
        <f t="shared" si="2"/>
        <v>7515463.9175257739</v>
      </c>
      <c r="AY5" s="61">
        <f t="shared" si="2"/>
        <v>7515463.9175257739</v>
      </c>
      <c r="AZ5" s="61">
        <f t="shared" si="2"/>
        <v>7515463.9175257739</v>
      </c>
      <c r="BA5" s="61">
        <f t="shared" si="2"/>
        <v>7515463.9175257739</v>
      </c>
      <c r="BB5" s="61">
        <f t="shared" si="2"/>
        <v>7515463.9175257739</v>
      </c>
      <c r="BC5" s="61">
        <f t="shared" si="2"/>
        <v>7515463.9175257739</v>
      </c>
      <c r="BD5" s="61">
        <f t="shared" si="2"/>
        <v>7515463.9175257739</v>
      </c>
      <c r="BE5" s="61">
        <f t="shared" si="2"/>
        <v>7515463.9175257739</v>
      </c>
      <c r="BF5" s="61">
        <f t="shared" si="2"/>
        <v>7515463.9175257739</v>
      </c>
      <c r="BG5" s="61">
        <f t="shared" si="2"/>
        <v>7515463.9175257739</v>
      </c>
      <c r="BH5" s="61">
        <f t="shared" si="2"/>
        <v>7515463.9175257739</v>
      </c>
      <c r="BI5" s="61">
        <f t="shared" si="2"/>
        <v>7515463.9175257739</v>
      </c>
      <c r="BJ5" s="61">
        <f t="shared" si="2"/>
        <v>7515463.9175257739</v>
      </c>
      <c r="BK5" s="61">
        <f t="shared" si="2"/>
        <v>7515463.9175257739</v>
      </c>
      <c r="BL5" s="61">
        <f t="shared" si="2"/>
        <v>7515463.9175257739</v>
      </c>
      <c r="BM5" s="61">
        <f t="shared" si="2"/>
        <v>7515463.9175257739</v>
      </c>
      <c r="BN5" s="61">
        <f t="shared" si="2"/>
        <v>7515463.9175257739</v>
      </c>
      <c r="BO5" s="61">
        <f t="shared" si="2"/>
        <v>7515463.9175257739</v>
      </c>
      <c r="BP5" s="61">
        <f t="shared" si="2"/>
        <v>7515463.9175257739</v>
      </c>
      <c r="BQ5" s="61">
        <f t="shared" si="2"/>
        <v>7515463.9175257739</v>
      </c>
      <c r="BR5" s="61">
        <f t="shared" ref="BR5:DK5" si="3">SUM(BR7:BR8)</f>
        <v>7515463.9175257739</v>
      </c>
      <c r="BS5" s="61">
        <f t="shared" si="3"/>
        <v>7515463.9175257739</v>
      </c>
      <c r="BT5" s="61">
        <f t="shared" si="3"/>
        <v>7515463.9175257739</v>
      </c>
      <c r="BU5" s="61">
        <f t="shared" si="3"/>
        <v>7515463.9175257739</v>
      </c>
      <c r="BV5" s="61">
        <f t="shared" si="3"/>
        <v>7515463.9175257739</v>
      </c>
      <c r="BW5" s="61">
        <f t="shared" si="3"/>
        <v>7515463.9175257739</v>
      </c>
      <c r="BX5" s="61">
        <f t="shared" si="3"/>
        <v>7515463.9175257739</v>
      </c>
      <c r="BY5" s="61">
        <f t="shared" si="3"/>
        <v>7515463.9175257739</v>
      </c>
      <c r="BZ5" s="61">
        <f t="shared" si="3"/>
        <v>7515463.9175257739</v>
      </c>
      <c r="CA5" s="61">
        <f t="shared" si="3"/>
        <v>7515463.9175257739</v>
      </c>
      <c r="CB5" s="61">
        <f t="shared" si="3"/>
        <v>7515463.9175257739</v>
      </c>
      <c r="CC5" s="61">
        <f t="shared" si="3"/>
        <v>7515463.9175257739</v>
      </c>
      <c r="CD5" s="61">
        <f t="shared" si="3"/>
        <v>7515463.9175257739</v>
      </c>
      <c r="CE5" s="61">
        <f t="shared" si="3"/>
        <v>7515463.9175257739</v>
      </c>
      <c r="CF5" s="61">
        <f t="shared" si="3"/>
        <v>7515463.9175257739</v>
      </c>
      <c r="CG5" s="61">
        <f t="shared" si="3"/>
        <v>7515463.9175257739</v>
      </c>
      <c r="CH5" s="61">
        <f t="shared" si="3"/>
        <v>7515463.9175257739</v>
      </c>
      <c r="CI5" s="61">
        <f t="shared" si="3"/>
        <v>7515463.9175257739</v>
      </c>
      <c r="CJ5" s="61">
        <f t="shared" si="3"/>
        <v>7515463.9175257739</v>
      </c>
      <c r="CK5" s="61">
        <f t="shared" si="3"/>
        <v>7515463.9175257739</v>
      </c>
      <c r="CL5" s="61">
        <f t="shared" si="3"/>
        <v>7515463.9175257739</v>
      </c>
      <c r="CM5" s="61">
        <f t="shared" si="3"/>
        <v>7515463.9175257739</v>
      </c>
      <c r="CN5" s="61">
        <f t="shared" si="3"/>
        <v>7515463.9175257739</v>
      </c>
      <c r="CO5" s="61">
        <f t="shared" si="3"/>
        <v>7515463.9175257739</v>
      </c>
      <c r="CP5" s="61">
        <f t="shared" si="3"/>
        <v>7515463.9175257739</v>
      </c>
      <c r="CQ5" s="61">
        <f t="shared" si="3"/>
        <v>7515463.9175257739</v>
      </c>
      <c r="CR5" s="61">
        <f t="shared" si="3"/>
        <v>7515463.9175257739</v>
      </c>
      <c r="CS5" s="61">
        <f t="shared" si="3"/>
        <v>7515463.9175257739</v>
      </c>
      <c r="CT5" s="61">
        <f t="shared" si="3"/>
        <v>7515463.9175257739</v>
      </c>
      <c r="CU5" s="61">
        <f t="shared" si="3"/>
        <v>7515463.9175257739</v>
      </c>
      <c r="CV5" s="61">
        <f t="shared" si="3"/>
        <v>7515463.9175257739</v>
      </c>
      <c r="CW5" s="61">
        <f t="shared" si="3"/>
        <v>7515463.9175257739</v>
      </c>
      <c r="CX5" s="61">
        <f t="shared" si="3"/>
        <v>7515463.9175257739</v>
      </c>
      <c r="CY5" s="61">
        <f t="shared" si="3"/>
        <v>7515463.9175257739</v>
      </c>
      <c r="CZ5" s="61">
        <f t="shared" si="3"/>
        <v>7515463.9175257739</v>
      </c>
      <c r="DA5" s="61">
        <f t="shared" si="3"/>
        <v>7515463.9175257739</v>
      </c>
      <c r="DB5" s="61">
        <f t="shared" si="3"/>
        <v>7515463.9175257739</v>
      </c>
      <c r="DC5" s="61">
        <f t="shared" si="3"/>
        <v>7515463.9175257739</v>
      </c>
      <c r="DD5" s="61">
        <f t="shared" si="3"/>
        <v>7515463.9175257739</v>
      </c>
      <c r="DE5" s="61">
        <f t="shared" si="3"/>
        <v>7515463.9175257739</v>
      </c>
      <c r="DF5" s="61">
        <f t="shared" si="3"/>
        <v>7515463.9175257739</v>
      </c>
      <c r="DG5" s="61">
        <f t="shared" si="3"/>
        <v>7515463.9175257739</v>
      </c>
      <c r="DH5" s="61">
        <f t="shared" si="3"/>
        <v>7515463.9175257739</v>
      </c>
      <c r="DI5" s="61">
        <f t="shared" si="3"/>
        <v>7515463.9175257739</v>
      </c>
      <c r="DJ5" s="61">
        <f t="shared" si="3"/>
        <v>7515463.9175257739</v>
      </c>
      <c r="DK5" s="61">
        <f t="shared" si="3"/>
        <v>7515463.9175257739</v>
      </c>
    </row>
    <row r="6" spans="1:115" s="57" customFormat="1"/>
    <row r="7" spans="1:115" s="57" customFormat="1">
      <c r="D7" s="57">
        <f>G7</f>
        <v>554000000.00000083</v>
      </c>
      <c r="E7" s="57">
        <f>SUM(A7:D7)</f>
        <v>554000000.00000083</v>
      </c>
      <c r="F7" s="57" t="s">
        <v>104</v>
      </c>
      <c r="G7" s="57">
        <f>SUM(H7:DK7)</f>
        <v>554000000.00000083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7">
        <v>0</v>
      </c>
      <c r="N7" s="57">
        <v>0</v>
      </c>
      <c r="O7" s="57">
        <v>0</v>
      </c>
      <c r="P7" s="57">
        <v>0</v>
      </c>
      <c r="Q7" s="57">
        <v>0</v>
      </c>
      <c r="R7" s="57">
        <v>0</v>
      </c>
      <c r="S7" s="57">
        <f>'O&amp;M Cost Estimate'!$G$16</f>
        <v>5711340.2061855672</v>
      </c>
      <c r="T7" s="57">
        <f>'O&amp;M Cost Estimate'!$G$16</f>
        <v>5711340.2061855672</v>
      </c>
      <c r="U7" s="57">
        <f>'O&amp;M Cost Estimate'!$G$16</f>
        <v>5711340.2061855672</v>
      </c>
      <c r="V7" s="57">
        <f>'O&amp;M Cost Estimate'!$G$16</f>
        <v>5711340.2061855672</v>
      </c>
      <c r="W7" s="57">
        <f>'O&amp;M Cost Estimate'!$G$16</f>
        <v>5711340.2061855672</v>
      </c>
      <c r="X7" s="57">
        <f>'O&amp;M Cost Estimate'!$G$16</f>
        <v>5711340.2061855672</v>
      </c>
      <c r="Y7" s="57">
        <f>'O&amp;M Cost Estimate'!$G$16</f>
        <v>5711340.2061855672</v>
      </c>
      <c r="Z7" s="57">
        <f>'O&amp;M Cost Estimate'!$G$16</f>
        <v>5711340.2061855672</v>
      </c>
      <c r="AA7" s="57">
        <f>'O&amp;M Cost Estimate'!$G$16</f>
        <v>5711340.2061855672</v>
      </c>
      <c r="AB7" s="57">
        <f>'O&amp;M Cost Estimate'!$G$16</f>
        <v>5711340.2061855672</v>
      </c>
      <c r="AC7" s="57">
        <f>'O&amp;M Cost Estimate'!$G$16</f>
        <v>5711340.2061855672</v>
      </c>
      <c r="AD7" s="57">
        <f>'O&amp;M Cost Estimate'!$G$16</f>
        <v>5711340.2061855672</v>
      </c>
      <c r="AE7" s="57">
        <f>'O&amp;M Cost Estimate'!$G$16</f>
        <v>5711340.2061855672</v>
      </c>
      <c r="AF7" s="57">
        <f>'O&amp;M Cost Estimate'!$G$16</f>
        <v>5711340.2061855672</v>
      </c>
      <c r="AG7" s="57">
        <f>'O&amp;M Cost Estimate'!$G$16</f>
        <v>5711340.2061855672</v>
      </c>
      <c r="AH7" s="57">
        <f>'O&amp;M Cost Estimate'!$G$16</f>
        <v>5711340.2061855672</v>
      </c>
      <c r="AI7" s="57">
        <f>'O&amp;M Cost Estimate'!$G$16</f>
        <v>5711340.2061855672</v>
      </c>
      <c r="AJ7" s="57">
        <f>'O&amp;M Cost Estimate'!$G$16</f>
        <v>5711340.2061855672</v>
      </c>
      <c r="AK7" s="57">
        <f>'O&amp;M Cost Estimate'!$G$16</f>
        <v>5711340.2061855672</v>
      </c>
      <c r="AL7" s="57">
        <f>'O&amp;M Cost Estimate'!$G$16</f>
        <v>5711340.2061855672</v>
      </c>
      <c r="AM7" s="57">
        <f>'O&amp;M Cost Estimate'!$G$16</f>
        <v>5711340.2061855672</v>
      </c>
      <c r="AN7" s="57">
        <f>'O&amp;M Cost Estimate'!$G$16</f>
        <v>5711340.2061855672</v>
      </c>
      <c r="AO7" s="57">
        <f>'O&amp;M Cost Estimate'!$G$16</f>
        <v>5711340.2061855672</v>
      </c>
      <c r="AP7" s="57">
        <f>'O&amp;M Cost Estimate'!$G$16</f>
        <v>5711340.2061855672</v>
      </c>
      <c r="AQ7" s="57">
        <f>'O&amp;M Cost Estimate'!$G$16</f>
        <v>5711340.2061855672</v>
      </c>
      <c r="AR7" s="57">
        <f>'O&amp;M Cost Estimate'!$G$16</f>
        <v>5711340.2061855672</v>
      </c>
      <c r="AS7" s="57">
        <f>'O&amp;M Cost Estimate'!$G$16</f>
        <v>5711340.2061855672</v>
      </c>
      <c r="AT7" s="57">
        <f>'O&amp;M Cost Estimate'!$G$16</f>
        <v>5711340.2061855672</v>
      </c>
      <c r="AU7" s="57">
        <f>'O&amp;M Cost Estimate'!$G$16</f>
        <v>5711340.2061855672</v>
      </c>
      <c r="AV7" s="57">
        <f>'O&amp;M Cost Estimate'!$G$16</f>
        <v>5711340.2061855672</v>
      </c>
      <c r="AW7" s="57">
        <f>'O&amp;M Cost Estimate'!$G$16</f>
        <v>5711340.2061855672</v>
      </c>
      <c r="AX7" s="57">
        <f>'O&amp;M Cost Estimate'!$G$16</f>
        <v>5711340.2061855672</v>
      </c>
      <c r="AY7" s="57">
        <f>'O&amp;M Cost Estimate'!$G$16</f>
        <v>5711340.2061855672</v>
      </c>
      <c r="AZ7" s="57">
        <f>'O&amp;M Cost Estimate'!$G$16</f>
        <v>5711340.2061855672</v>
      </c>
      <c r="BA7" s="57">
        <f>'O&amp;M Cost Estimate'!$G$16</f>
        <v>5711340.2061855672</v>
      </c>
      <c r="BB7" s="57">
        <f>'O&amp;M Cost Estimate'!$G$16</f>
        <v>5711340.2061855672</v>
      </c>
      <c r="BC7" s="57">
        <f>'O&amp;M Cost Estimate'!$G$16</f>
        <v>5711340.2061855672</v>
      </c>
      <c r="BD7" s="57">
        <f>'O&amp;M Cost Estimate'!$G$16</f>
        <v>5711340.2061855672</v>
      </c>
      <c r="BE7" s="57">
        <f>'O&amp;M Cost Estimate'!$G$16</f>
        <v>5711340.2061855672</v>
      </c>
      <c r="BF7" s="57">
        <f>'O&amp;M Cost Estimate'!$G$16</f>
        <v>5711340.2061855672</v>
      </c>
      <c r="BG7" s="57">
        <f>'O&amp;M Cost Estimate'!$G$16</f>
        <v>5711340.2061855672</v>
      </c>
      <c r="BH7" s="57">
        <f>'O&amp;M Cost Estimate'!$G$16</f>
        <v>5711340.2061855672</v>
      </c>
      <c r="BI7" s="57">
        <f>'O&amp;M Cost Estimate'!$G$16</f>
        <v>5711340.2061855672</v>
      </c>
      <c r="BJ7" s="57">
        <f>'O&amp;M Cost Estimate'!$G$16</f>
        <v>5711340.2061855672</v>
      </c>
      <c r="BK7" s="57">
        <f>'O&amp;M Cost Estimate'!$G$16</f>
        <v>5711340.2061855672</v>
      </c>
      <c r="BL7" s="57">
        <f>'O&amp;M Cost Estimate'!$G$16</f>
        <v>5711340.2061855672</v>
      </c>
      <c r="BM7" s="57">
        <f>'O&amp;M Cost Estimate'!$G$16</f>
        <v>5711340.2061855672</v>
      </c>
      <c r="BN7" s="57">
        <f>'O&amp;M Cost Estimate'!$G$16</f>
        <v>5711340.2061855672</v>
      </c>
      <c r="BO7" s="57">
        <f>'O&amp;M Cost Estimate'!$G$16</f>
        <v>5711340.2061855672</v>
      </c>
      <c r="BP7" s="57">
        <f>'O&amp;M Cost Estimate'!$G$16</f>
        <v>5711340.2061855672</v>
      </c>
      <c r="BQ7" s="57">
        <f>'O&amp;M Cost Estimate'!$G$16</f>
        <v>5711340.2061855672</v>
      </c>
      <c r="BR7" s="57">
        <f>'O&amp;M Cost Estimate'!$G$16</f>
        <v>5711340.2061855672</v>
      </c>
      <c r="BS7" s="57">
        <f>'O&amp;M Cost Estimate'!$G$16</f>
        <v>5711340.2061855672</v>
      </c>
      <c r="BT7" s="57">
        <f>'O&amp;M Cost Estimate'!$G$16</f>
        <v>5711340.2061855672</v>
      </c>
      <c r="BU7" s="57">
        <f>'O&amp;M Cost Estimate'!$G$16</f>
        <v>5711340.2061855672</v>
      </c>
      <c r="BV7" s="57">
        <f>'O&amp;M Cost Estimate'!$G$16</f>
        <v>5711340.2061855672</v>
      </c>
      <c r="BW7" s="57">
        <f>'O&amp;M Cost Estimate'!$G$16</f>
        <v>5711340.2061855672</v>
      </c>
      <c r="BX7" s="57">
        <f>'O&amp;M Cost Estimate'!$G$16</f>
        <v>5711340.2061855672</v>
      </c>
      <c r="BY7" s="57">
        <f>'O&amp;M Cost Estimate'!$G$16</f>
        <v>5711340.2061855672</v>
      </c>
      <c r="BZ7" s="57">
        <f>'O&amp;M Cost Estimate'!$G$16</f>
        <v>5711340.2061855672</v>
      </c>
      <c r="CA7" s="57">
        <f>'O&amp;M Cost Estimate'!$G$16</f>
        <v>5711340.2061855672</v>
      </c>
      <c r="CB7" s="57">
        <f>'O&amp;M Cost Estimate'!$G$16</f>
        <v>5711340.2061855672</v>
      </c>
      <c r="CC7" s="57">
        <f>'O&amp;M Cost Estimate'!$G$16</f>
        <v>5711340.2061855672</v>
      </c>
      <c r="CD7" s="57">
        <f>'O&amp;M Cost Estimate'!$G$16</f>
        <v>5711340.2061855672</v>
      </c>
      <c r="CE7" s="57">
        <f>'O&amp;M Cost Estimate'!$G$16</f>
        <v>5711340.2061855672</v>
      </c>
      <c r="CF7" s="57">
        <f>'O&amp;M Cost Estimate'!$G$16</f>
        <v>5711340.2061855672</v>
      </c>
      <c r="CG7" s="57">
        <f>'O&amp;M Cost Estimate'!$G$16</f>
        <v>5711340.2061855672</v>
      </c>
      <c r="CH7" s="57">
        <f>'O&amp;M Cost Estimate'!$G$16</f>
        <v>5711340.2061855672</v>
      </c>
      <c r="CI7" s="57">
        <f>'O&amp;M Cost Estimate'!$G$16</f>
        <v>5711340.2061855672</v>
      </c>
      <c r="CJ7" s="57">
        <f>'O&amp;M Cost Estimate'!$G$16</f>
        <v>5711340.2061855672</v>
      </c>
      <c r="CK7" s="57">
        <f>'O&amp;M Cost Estimate'!$G$16</f>
        <v>5711340.2061855672</v>
      </c>
      <c r="CL7" s="57">
        <f>'O&amp;M Cost Estimate'!$G$16</f>
        <v>5711340.2061855672</v>
      </c>
      <c r="CM7" s="57">
        <f>'O&amp;M Cost Estimate'!$G$16</f>
        <v>5711340.2061855672</v>
      </c>
      <c r="CN7" s="57">
        <f>'O&amp;M Cost Estimate'!$G$16</f>
        <v>5711340.2061855672</v>
      </c>
      <c r="CO7" s="57">
        <f>'O&amp;M Cost Estimate'!$G$16</f>
        <v>5711340.2061855672</v>
      </c>
      <c r="CP7" s="57">
        <f>'O&amp;M Cost Estimate'!$G$16</f>
        <v>5711340.2061855672</v>
      </c>
      <c r="CQ7" s="57">
        <f>'O&amp;M Cost Estimate'!$G$16</f>
        <v>5711340.2061855672</v>
      </c>
      <c r="CR7" s="57">
        <f>'O&amp;M Cost Estimate'!$G$16</f>
        <v>5711340.2061855672</v>
      </c>
      <c r="CS7" s="57">
        <f>'O&amp;M Cost Estimate'!$G$16</f>
        <v>5711340.2061855672</v>
      </c>
      <c r="CT7" s="57">
        <f>'O&amp;M Cost Estimate'!$G$16</f>
        <v>5711340.2061855672</v>
      </c>
      <c r="CU7" s="57">
        <f>'O&amp;M Cost Estimate'!$G$16</f>
        <v>5711340.2061855672</v>
      </c>
      <c r="CV7" s="57">
        <f>'O&amp;M Cost Estimate'!$G$16</f>
        <v>5711340.2061855672</v>
      </c>
      <c r="CW7" s="57">
        <f>'O&amp;M Cost Estimate'!$G$16</f>
        <v>5711340.2061855672</v>
      </c>
      <c r="CX7" s="57">
        <f>'O&amp;M Cost Estimate'!$G$16</f>
        <v>5711340.2061855672</v>
      </c>
      <c r="CY7" s="57">
        <f>'O&amp;M Cost Estimate'!$G$16</f>
        <v>5711340.2061855672</v>
      </c>
      <c r="CZ7" s="57">
        <f>'O&amp;M Cost Estimate'!$G$16</f>
        <v>5711340.2061855672</v>
      </c>
      <c r="DA7" s="57">
        <f>'O&amp;M Cost Estimate'!$G$16</f>
        <v>5711340.2061855672</v>
      </c>
      <c r="DB7" s="57">
        <f>'O&amp;M Cost Estimate'!$G$16</f>
        <v>5711340.2061855672</v>
      </c>
      <c r="DC7" s="57">
        <f>'O&amp;M Cost Estimate'!$G$16</f>
        <v>5711340.2061855672</v>
      </c>
      <c r="DD7" s="57">
        <f>'O&amp;M Cost Estimate'!$G$16</f>
        <v>5711340.2061855672</v>
      </c>
      <c r="DE7" s="57">
        <f>'O&amp;M Cost Estimate'!$G$16</f>
        <v>5711340.2061855672</v>
      </c>
      <c r="DF7" s="57">
        <f>'O&amp;M Cost Estimate'!$G$16</f>
        <v>5711340.2061855672</v>
      </c>
      <c r="DG7" s="57">
        <f>'O&amp;M Cost Estimate'!$G$16</f>
        <v>5711340.2061855672</v>
      </c>
      <c r="DH7" s="57">
        <f>'O&amp;M Cost Estimate'!$G$16</f>
        <v>5711340.2061855672</v>
      </c>
      <c r="DI7" s="57">
        <f>'O&amp;M Cost Estimate'!$G$16</f>
        <v>5711340.2061855672</v>
      </c>
      <c r="DJ7" s="57">
        <f>'O&amp;M Cost Estimate'!$G$16</f>
        <v>5711340.2061855672</v>
      </c>
      <c r="DK7" s="57">
        <f>'O&amp;M Cost Estimate'!$G$16</f>
        <v>5711340.2061855672</v>
      </c>
    </row>
    <row r="8" spans="1:115" s="62" customFormat="1" ht="15.75" thickBot="1">
      <c r="D8" s="62">
        <f>G8</f>
        <v>175000000.00000018</v>
      </c>
      <c r="E8" s="62">
        <f>SUM(A8:D8)</f>
        <v>175000000.00000018</v>
      </c>
      <c r="F8" s="62" t="s">
        <v>105</v>
      </c>
      <c r="G8" s="62">
        <f>SUM(H8:DK8)</f>
        <v>175000000.00000018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f>WaterQualMitigationMonitoring!$B$6</f>
        <v>1804123.7113402062</v>
      </c>
      <c r="T8" s="62">
        <f>WaterQualMitigationMonitoring!$B$6</f>
        <v>1804123.7113402062</v>
      </c>
      <c r="U8" s="62">
        <f>WaterQualMitigationMonitoring!$B$6</f>
        <v>1804123.7113402062</v>
      </c>
      <c r="V8" s="62">
        <f>WaterQualMitigationMonitoring!$B$6</f>
        <v>1804123.7113402062</v>
      </c>
      <c r="W8" s="62">
        <f>WaterQualMitigationMonitoring!$B$6</f>
        <v>1804123.7113402062</v>
      </c>
      <c r="X8" s="62">
        <f>WaterQualMitigationMonitoring!$B$6</f>
        <v>1804123.7113402062</v>
      </c>
      <c r="Y8" s="62">
        <f>WaterQualMitigationMonitoring!$B$6</f>
        <v>1804123.7113402062</v>
      </c>
      <c r="Z8" s="62">
        <f>WaterQualMitigationMonitoring!$B$6</f>
        <v>1804123.7113402062</v>
      </c>
      <c r="AA8" s="62">
        <f>WaterQualMitigationMonitoring!$B$6</f>
        <v>1804123.7113402062</v>
      </c>
      <c r="AB8" s="62">
        <f>WaterQualMitigationMonitoring!$B$6</f>
        <v>1804123.7113402062</v>
      </c>
      <c r="AC8" s="62">
        <f>WaterQualMitigationMonitoring!$B$6</f>
        <v>1804123.7113402062</v>
      </c>
      <c r="AD8" s="62">
        <f>WaterQualMitigationMonitoring!$B$6</f>
        <v>1804123.7113402062</v>
      </c>
      <c r="AE8" s="62">
        <f>WaterQualMitigationMonitoring!$B$6</f>
        <v>1804123.7113402062</v>
      </c>
      <c r="AF8" s="62">
        <f>WaterQualMitigationMonitoring!$B$6</f>
        <v>1804123.7113402062</v>
      </c>
      <c r="AG8" s="62">
        <f>WaterQualMitigationMonitoring!$B$6</f>
        <v>1804123.7113402062</v>
      </c>
      <c r="AH8" s="62">
        <f>WaterQualMitigationMonitoring!$B$6</f>
        <v>1804123.7113402062</v>
      </c>
      <c r="AI8" s="62">
        <f>WaterQualMitigationMonitoring!$B$6</f>
        <v>1804123.7113402062</v>
      </c>
      <c r="AJ8" s="62">
        <f>WaterQualMitigationMonitoring!$B$6</f>
        <v>1804123.7113402062</v>
      </c>
      <c r="AK8" s="62">
        <f>WaterQualMitigationMonitoring!$B$6</f>
        <v>1804123.7113402062</v>
      </c>
      <c r="AL8" s="62">
        <f>WaterQualMitigationMonitoring!$B$6</f>
        <v>1804123.7113402062</v>
      </c>
      <c r="AM8" s="62">
        <f>WaterQualMitigationMonitoring!$B$6</f>
        <v>1804123.7113402062</v>
      </c>
      <c r="AN8" s="62">
        <f>WaterQualMitigationMonitoring!$B$6</f>
        <v>1804123.7113402062</v>
      </c>
      <c r="AO8" s="62">
        <f>WaterQualMitigationMonitoring!$B$6</f>
        <v>1804123.7113402062</v>
      </c>
      <c r="AP8" s="62">
        <f>WaterQualMitigationMonitoring!$B$6</f>
        <v>1804123.7113402062</v>
      </c>
      <c r="AQ8" s="62">
        <f>WaterQualMitigationMonitoring!$B$6</f>
        <v>1804123.7113402062</v>
      </c>
      <c r="AR8" s="62">
        <f>WaterQualMitigationMonitoring!$B$6</f>
        <v>1804123.7113402062</v>
      </c>
      <c r="AS8" s="62">
        <f>WaterQualMitigationMonitoring!$B$6</f>
        <v>1804123.7113402062</v>
      </c>
      <c r="AT8" s="62">
        <f>WaterQualMitigationMonitoring!$B$6</f>
        <v>1804123.7113402062</v>
      </c>
      <c r="AU8" s="62">
        <f>WaterQualMitigationMonitoring!$B$6</f>
        <v>1804123.7113402062</v>
      </c>
      <c r="AV8" s="62">
        <f>WaterQualMitigationMonitoring!$B$6</f>
        <v>1804123.7113402062</v>
      </c>
      <c r="AW8" s="62">
        <f>WaterQualMitigationMonitoring!$B$6</f>
        <v>1804123.7113402062</v>
      </c>
      <c r="AX8" s="62">
        <f>WaterQualMitigationMonitoring!$B$6</f>
        <v>1804123.7113402062</v>
      </c>
      <c r="AY8" s="62">
        <f>WaterQualMitigationMonitoring!$B$6</f>
        <v>1804123.7113402062</v>
      </c>
      <c r="AZ8" s="62">
        <f>WaterQualMitigationMonitoring!$B$6</f>
        <v>1804123.7113402062</v>
      </c>
      <c r="BA8" s="62">
        <f>WaterQualMitigationMonitoring!$B$6</f>
        <v>1804123.7113402062</v>
      </c>
      <c r="BB8" s="62">
        <f>WaterQualMitigationMonitoring!$B$6</f>
        <v>1804123.7113402062</v>
      </c>
      <c r="BC8" s="62">
        <f>WaterQualMitigationMonitoring!$B$6</f>
        <v>1804123.7113402062</v>
      </c>
      <c r="BD8" s="62">
        <f>WaterQualMitigationMonitoring!$B$6</f>
        <v>1804123.7113402062</v>
      </c>
      <c r="BE8" s="62">
        <f>WaterQualMitigationMonitoring!$B$6</f>
        <v>1804123.7113402062</v>
      </c>
      <c r="BF8" s="62">
        <f>WaterQualMitigationMonitoring!$B$6</f>
        <v>1804123.7113402062</v>
      </c>
      <c r="BG8" s="62">
        <f>WaterQualMitigationMonitoring!$B$6</f>
        <v>1804123.7113402062</v>
      </c>
      <c r="BH8" s="62">
        <f>WaterQualMitigationMonitoring!$B$6</f>
        <v>1804123.7113402062</v>
      </c>
      <c r="BI8" s="62">
        <f>WaterQualMitigationMonitoring!$B$6</f>
        <v>1804123.7113402062</v>
      </c>
      <c r="BJ8" s="62">
        <f>WaterQualMitigationMonitoring!$B$6</f>
        <v>1804123.7113402062</v>
      </c>
      <c r="BK8" s="62">
        <f>WaterQualMitigationMonitoring!$B$6</f>
        <v>1804123.7113402062</v>
      </c>
      <c r="BL8" s="62">
        <f>WaterQualMitigationMonitoring!$B$6</f>
        <v>1804123.7113402062</v>
      </c>
      <c r="BM8" s="62">
        <f>WaterQualMitigationMonitoring!$B$6</f>
        <v>1804123.7113402062</v>
      </c>
      <c r="BN8" s="62">
        <f>WaterQualMitigationMonitoring!$B$6</f>
        <v>1804123.7113402062</v>
      </c>
      <c r="BO8" s="62">
        <f>WaterQualMitigationMonitoring!$B$6</f>
        <v>1804123.7113402062</v>
      </c>
      <c r="BP8" s="62">
        <f>WaterQualMitigationMonitoring!$B$6</f>
        <v>1804123.7113402062</v>
      </c>
      <c r="BQ8" s="62">
        <f>WaterQualMitigationMonitoring!$B$6</f>
        <v>1804123.7113402062</v>
      </c>
      <c r="BR8" s="62">
        <f>WaterQualMitigationMonitoring!$B$6</f>
        <v>1804123.7113402062</v>
      </c>
      <c r="BS8" s="62">
        <f>WaterQualMitigationMonitoring!$B$6</f>
        <v>1804123.7113402062</v>
      </c>
      <c r="BT8" s="62">
        <f>WaterQualMitigationMonitoring!$B$6</f>
        <v>1804123.7113402062</v>
      </c>
      <c r="BU8" s="62">
        <f>WaterQualMitigationMonitoring!$B$6</f>
        <v>1804123.7113402062</v>
      </c>
      <c r="BV8" s="62">
        <f>WaterQualMitigationMonitoring!$B$6</f>
        <v>1804123.7113402062</v>
      </c>
      <c r="BW8" s="62">
        <f>WaterQualMitigationMonitoring!$B$6</f>
        <v>1804123.7113402062</v>
      </c>
      <c r="BX8" s="62">
        <f>WaterQualMitigationMonitoring!$B$6</f>
        <v>1804123.7113402062</v>
      </c>
      <c r="BY8" s="62">
        <f>WaterQualMitigationMonitoring!$B$6</f>
        <v>1804123.7113402062</v>
      </c>
      <c r="BZ8" s="62">
        <f>WaterQualMitigationMonitoring!$B$6</f>
        <v>1804123.7113402062</v>
      </c>
      <c r="CA8" s="62">
        <f>WaterQualMitigationMonitoring!$B$6</f>
        <v>1804123.7113402062</v>
      </c>
      <c r="CB8" s="62">
        <f>WaterQualMitigationMonitoring!$B$6</f>
        <v>1804123.7113402062</v>
      </c>
      <c r="CC8" s="62">
        <f>WaterQualMitigationMonitoring!$B$6</f>
        <v>1804123.7113402062</v>
      </c>
      <c r="CD8" s="62">
        <f>WaterQualMitigationMonitoring!$B$6</f>
        <v>1804123.7113402062</v>
      </c>
      <c r="CE8" s="62">
        <f>WaterQualMitigationMonitoring!$B$6</f>
        <v>1804123.7113402062</v>
      </c>
      <c r="CF8" s="62">
        <f>WaterQualMitigationMonitoring!$B$6</f>
        <v>1804123.7113402062</v>
      </c>
      <c r="CG8" s="62">
        <f>WaterQualMitigationMonitoring!$B$6</f>
        <v>1804123.7113402062</v>
      </c>
      <c r="CH8" s="62">
        <f>WaterQualMitigationMonitoring!$B$6</f>
        <v>1804123.7113402062</v>
      </c>
      <c r="CI8" s="62">
        <f>WaterQualMitigationMonitoring!$B$6</f>
        <v>1804123.7113402062</v>
      </c>
      <c r="CJ8" s="62">
        <f>WaterQualMitigationMonitoring!$B$6</f>
        <v>1804123.7113402062</v>
      </c>
      <c r="CK8" s="62">
        <f>WaterQualMitigationMonitoring!$B$6</f>
        <v>1804123.7113402062</v>
      </c>
      <c r="CL8" s="62">
        <f>WaterQualMitigationMonitoring!$B$6</f>
        <v>1804123.7113402062</v>
      </c>
      <c r="CM8" s="62">
        <f>WaterQualMitigationMonitoring!$B$6</f>
        <v>1804123.7113402062</v>
      </c>
      <c r="CN8" s="62">
        <f>WaterQualMitigationMonitoring!$B$6</f>
        <v>1804123.7113402062</v>
      </c>
      <c r="CO8" s="62">
        <f>WaterQualMitigationMonitoring!$B$6</f>
        <v>1804123.7113402062</v>
      </c>
      <c r="CP8" s="62">
        <f>WaterQualMitigationMonitoring!$B$6</f>
        <v>1804123.7113402062</v>
      </c>
      <c r="CQ8" s="62">
        <f>WaterQualMitigationMonitoring!$B$6</f>
        <v>1804123.7113402062</v>
      </c>
      <c r="CR8" s="62">
        <f>WaterQualMitigationMonitoring!$B$6</f>
        <v>1804123.7113402062</v>
      </c>
      <c r="CS8" s="62">
        <f>WaterQualMitigationMonitoring!$B$6</f>
        <v>1804123.7113402062</v>
      </c>
      <c r="CT8" s="62">
        <f>WaterQualMitigationMonitoring!$B$6</f>
        <v>1804123.7113402062</v>
      </c>
      <c r="CU8" s="62">
        <f>WaterQualMitigationMonitoring!$B$6</f>
        <v>1804123.7113402062</v>
      </c>
      <c r="CV8" s="62">
        <f>WaterQualMitigationMonitoring!$B$6</f>
        <v>1804123.7113402062</v>
      </c>
      <c r="CW8" s="62">
        <f>WaterQualMitigationMonitoring!$B$6</f>
        <v>1804123.7113402062</v>
      </c>
      <c r="CX8" s="62">
        <f>WaterQualMitigationMonitoring!$B$6</f>
        <v>1804123.7113402062</v>
      </c>
      <c r="CY8" s="62">
        <f>WaterQualMitigationMonitoring!$B$6</f>
        <v>1804123.7113402062</v>
      </c>
      <c r="CZ8" s="62">
        <f>WaterQualMitigationMonitoring!$B$6</f>
        <v>1804123.7113402062</v>
      </c>
      <c r="DA8" s="62">
        <f>WaterQualMitigationMonitoring!$B$6</f>
        <v>1804123.7113402062</v>
      </c>
      <c r="DB8" s="62">
        <f>WaterQualMitigationMonitoring!$B$6</f>
        <v>1804123.7113402062</v>
      </c>
      <c r="DC8" s="62">
        <f>WaterQualMitigationMonitoring!$B$6</f>
        <v>1804123.7113402062</v>
      </c>
      <c r="DD8" s="62">
        <f>WaterQualMitigationMonitoring!$B$6</f>
        <v>1804123.7113402062</v>
      </c>
      <c r="DE8" s="62">
        <f>WaterQualMitigationMonitoring!$B$6</f>
        <v>1804123.7113402062</v>
      </c>
      <c r="DF8" s="62">
        <f>WaterQualMitigationMonitoring!$B$6</f>
        <v>1804123.7113402062</v>
      </c>
      <c r="DG8" s="62">
        <f>WaterQualMitigationMonitoring!$B$6</f>
        <v>1804123.7113402062</v>
      </c>
      <c r="DH8" s="62">
        <f>WaterQualMitigationMonitoring!$B$6</f>
        <v>1804123.7113402062</v>
      </c>
      <c r="DI8" s="62">
        <f>WaterQualMitigationMonitoring!$B$6</f>
        <v>1804123.7113402062</v>
      </c>
      <c r="DJ8" s="62">
        <f>WaterQualMitigationMonitoring!$B$6</f>
        <v>1804123.7113402062</v>
      </c>
      <c r="DK8" s="62">
        <f>WaterQualMitigationMonitoring!$B$6</f>
        <v>1804123.7113402062</v>
      </c>
    </row>
    <row r="9" spans="1:115" ht="15.75" thickBot="1">
      <c r="G9" s="38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</row>
    <row r="10" spans="1:115" s="58" customFormat="1">
      <c r="A10" s="58">
        <f>SUM(A12:A17)</f>
        <v>237666666.66666666</v>
      </c>
      <c r="B10" s="58">
        <f>SUM(B12:B17)</f>
        <v>355166666.66666669</v>
      </c>
      <c r="C10" s="58">
        <f>SUM(C12:C17)</f>
        <v>5110296666.666666</v>
      </c>
      <c r="D10" s="58">
        <f>SUM(D12:D17)</f>
        <v>0</v>
      </c>
      <c r="E10" s="58">
        <f>SUM(A10:D10)</f>
        <v>5703129999.999999</v>
      </c>
      <c r="F10" s="58" t="s">
        <v>129</v>
      </c>
      <c r="G10" s="58">
        <f t="shared" ref="G10:S10" si="4">SUM(G12:G17)</f>
        <v>5703130000</v>
      </c>
      <c r="H10" s="58">
        <f t="shared" si="4"/>
        <v>105416666.66666667</v>
      </c>
      <c r="I10" s="58">
        <f t="shared" si="4"/>
        <v>132250000</v>
      </c>
      <c r="J10" s="58">
        <f t="shared" si="4"/>
        <v>355166666.66666669</v>
      </c>
      <c r="K10" s="58">
        <f t="shared" si="4"/>
        <v>1061952380.9523809</v>
      </c>
      <c r="L10" s="58">
        <f t="shared" si="4"/>
        <v>606947142.85714293</v>
      </c>
      <c r="M10" s="58">
        <f t="shared" si="4"/>
        <v>736404285.71428561</v>
      </c>
      <c r="N10" s="58">
        <f t="shared" si="4"/>
        <v>632161428.57142866</v>
      </c>
      <c r="O10" s="58">
        <f t="shared" si="4"/>
        <v>632161428.57142866</v>
      </c>
      <c r="P10" s="58">
        <f t="shared" si="4"/>
        <v>641590000</v>
      </c>
      <c r="Q10" s="58">
        <f t="shared" si="4"/>
        <v>540418571.42857146</v>
      </c>
      <c r="R10" s="58">
        <f t="shared" si="4"/>
        <v>258661428.5714286</v>
      </c>
      <c r="S10" s="58">
        <f t="shared" si="4"/>
        <v>0</v>
      </c>
      <c r="T10" s="58">
        <f t="shared" ref="T10:BQ10" si="5">SUM(T12:T17)</f>
        <v>0</v>
      </c>
      <c r="U10" s="58">
        <f t="shared" si="5"/>
        <v>0</v>
      </c>
      <c r="V10" s="58">
        <f t="shared" si="5"/>
        <v>0</v>
      </c>
      <c r="W10" s="58">
        <f t="shared" si="5"/>
        <v>0</v>
      </c>
      <c r="X10" s="58">
        <f t="shared" si="5"/>
        <v>0</v>
      </c>
      <c r="Y10" s="58">
        <f t="shared" si="5"/>
        <v>0</v>
      </c>
      <c r="Z10" s="58">
        <f t="shared" si="5"/>
        <v>0</v>
      </c>
      <c r="AA10" s="58">
        <f t="shared" si="5"/>
        <v>0</v>
      </c>
      <c r="AB10" s="58">
        <f t="shared" si="5"/>
        <v>0</v>
      </c>
      <c r="AC10" s="58">
        <f t="shared" si="5"/>
        <v>0</v>
      </c>
      <c r="AD10" s="58">
        <f t="shared" si="5"/>
        <v>0</v>
      </c>
      <c r="AE10" s="58">
        <f t="shared" si="5"/>
        <v>0</v>
      </c>
      <c r="AF10" s="58">
        <f t="shared" si="5"/>
        <v>0</v>
      </c>
      <c r="AG10" s="58">
        <f t="shared" si="5"/>
        <v>0</v>
      </c>
      <c r="AH10" s="58">
        <f t="shared" si="5"/>
        <v>0</v>
      </c>
      <c r="AI10" s="58">
        <f t="shared" si="5"/>
        <v>0</v>
      </c>
      <c r="AJ10" s="58">
        <f t="shared" si="5"/>
        <v>0</v>
      </c>
      <c r="AK10" s="58">
        <f t="shared" si="5"/>
        <v>0</v>
      </c>
      <c r="AL10" s="58">
        <f t="shared" si="5"/>
        <v>0</v>
      </c>
      <c r="AM10" s="58">
        <f t="shared" si="5"/>
        <v>0</v>
      </c>
      <c r="AN10" s="58">
        <f t="shared" si="5"/>
        <v>0</v>
      </c>
      <c r="AO10" s="58">
        <f t="shared" si="5"/>
        <v>0</v>
      </c>
      <c r="AP10" s="58">
        <f t="shared" si="5"/>
        <v>0</v>
      </c>
      <c r="AQ10" s="58">
        <f t="shared" si="5"/>
        <v>0</v>
      </c>
      <c r="AR10" s="58">
        <f t="shared" si="5"/>
        <v>0</v>
      </c>
      <c r="AS10" s="58">
        <f t="shared" si="5"/>
        <v>0</v>
      </c>
      <c r="AT10" s="58">
        <f t="shared" si="5"/>
        <v>0</v>
      </c>
      <c r="AU10" s="58">
        <f t="shared" si="5"/>
        <v>0</v>
      </c>
      <c r="AV10" s="58">
        <f t="shared" si="5"/>
        <v>0</v>
      </c>
      <c r="AW10" s="58">
        <f t="shared" si="5"/>
        <v>0</v>
      </c>
      <c r="AX10" s="58">
        <f t="shared" si="5"/>
        <v>0</v>
      </c>
      <c r="AY10" s="58">
        <f t="shared" si="5"/>
        <v>0</v>
      </c>
      <c r="AZ10" s="58">
        <f t="shared" si="5"/>
        <v>0</v>
      </c>
      <c r="BA10" s="58">
        <f t="shared" si="5"/>
        <v>0</v>
      </c>
      <c r="BB10" s="58">
        <f t="shared" si="5"/>
        <v>0</v>
      </c>
      <c r="BC10" s="58">
        <f t="shared" si="5"/>
        <v>0</v>
      </c>
      <c r="BD10" s="58">
        <f t="shared" si="5"/>
        <v>0</v>
      </c>
      <c r="BE10" s="58">
        <f t="shared" si="5"/>
        <v>0</v>
      </c>
      <c r="BF10" s="58">
        <f t="shared" si="5"/>
        <v>0</v>
      </c>
      <c r="BG10" s="58">
        <f t="shared" si="5"/>
        <v>0</v>
      </c>
      <c r="BH10" s="58">
        <f t="shared" si="5"/>
        <v>0</v>
      </c>
      <c r="BI10" s="58">
        <f t="shared" si="5"/>
        <v>0</v>
      </c>
      <c r="BJ10" s="58">
        <f t="shared" si="5"/>
        <v>0</v>
      </c>
      <c r="BK10" s="58">
        <f t="shared" si="5"/>
        <v>0</v>
      </c>
      <c r="BL10" s="58">
        <f t="shared" si="5"/>
        <v>0</v>
      </c>
      <c r="BM10" s="58">
        <f t="shared" si="5"/>
        <v>0</v>
      </c>
      <c r="BN10" s="58">
        <f t="shared" si="5"/>
        <v>0</v>
      </c>
      <c r="BO10" s="58">
        <f t="shared" si="5"/>
        <v>0</v>
      </c>
      <c r="BP10" s="58">
        <f t="shared" si="5"/>
        <v>0</v>
      </c>
      <c r="BQ10" s="58">
        <f t="shared" si="5"/>
        <v>0</v>
      </c>
      <c r="BR10" s="58">
        <f t="shared" ref="BR10:DK10" si="6">SUM(BR12:BR17)</f>
        <v>0</v>
      </c>
      <c r="BS10" s="58">
        <f t="shared" si="6"/>
        <v>0</v>
      </c>
      <c r="BT10" s="58">
        <f t="shared" si="6"/>
        <v>0</v>
      </c>
      <c r="BU10" s="58">
        <f t="shared" si="6"/>
        <v>0</v>
      </c>
      <c r="BV10" s="58">
        <f t="shared" si="6"/>
        <v>0</v>
      </c>
      <c r="BW10" s="58">
        <f t="shared" si="6"/>
        <v>0</v>
      </c>
      <c r="BX10" s="58">
        <f t="shared" si="6"/>
        <v>0</v>
      </c>
      <c r="BY10" s="58">
        <f t="shared" si="6"/>
        <v>0</v>
      </c>
      <c r="BZ10" s="58">
        <f t="shared" si="6"/>
        <v>0</v>
      </c>
      <c r="CA10" s="58">
        <f t="shared" si="6"/>
        <v>0</v>
      </c>
      <c r="CB10" s="58">
        <f t="shared" si="6"/>
        <v>0</v>
      </c>
      <c r="CC10" s="58">
        <f t="shared" si="6"/>
        <v>0</v>
      </c>
      <c r="CD10" s="58">
        <f t="shared" si="6"/>
        <v>0</v>
      </c>
      <c r="CE10" s="58">
        <f t="shared" si="6"/>
        <v>0</v>
      </c>
      <c r="CF10" s="58">
        <f t="shared" si="6"/>
        <v>0</v>
      </c>
      <c r="CG10" s="58">
        <f t="shared" si="6"/>
        <v>0</v>
      </c>
      <c r="CH10" s="58">
        <f t="shared" si="6"/>
        <v>0</v>
      </c>
      <c r="CI10" s="58">
        <f t="shared" si="6"/>
        <v>0</v>
      </c>
      <c r="CJ10" s="58">
        <f t="shared" si="6"/>
        <v>0</v>
      </c>
      <c r="CK10" s="58">
        <f t="shared" si="6"/>
        <v>0</v>
      </c>
      <c r="CL10" s="58">
        <f t="shared" si="6"/>
        <v>0</v>
      </c>
      <c r="CM10" s="58">
        <f t="shared" si="6"/>
        <v>0</v>
      </c>
      <c r="CN10" s="58">
        <f t="shared" si="6"/>
        <v>0</v>
      </c>
      <c r="CO10" s="58">
        <f t="shared" si="6"/>
        <v>0</v>
      </c>
      <c r="CP10" s="58">
        <f t="shared" si="6"/>
        <v>0</v>
      </c>
      <c r="CQ10" s="58">
        <f t="shared" si="6"/>
        <v>0</v>
      </c>
      <c r="CR10" s="58">
        <f t="shared" si="6"/>
        <v>0</v>
      </c>
      <c r="CS10" s="58">
        <f t="shared" si="6"/>
        <v>0</v>
      </c>
      <c r="CT10" s="58">
        <f t="shared" si="6"/>
        <v>0</v>
      </c>
      <c r="CU10" s="58">
        <f t="shared" si="6"/>
        <v>0</v>
      </c>
      <c r="CV10" s="58">
        <f t="shared" si="6"/>
        <v>0</v>
      </c>
      <c r="CW10" s="58">
        <f t="shared" si="6"/>
        <v>0</v>
      </c>
      <c r="CX10" s="58">
        <f t="shared" si="6"/>
        <v>0</v>
      </c>
      <c r="CY10" s="58">
        <f t="shared" si="6"/>
        <v>0</v>
      </c>
      <c r="CZ10" s="58">
        <f t="shared" si="6"/>
        <v>0</v>
      </c>
      <c r="DA10" s="58">
        <f t="shared" si="6"/>
        <v>0</v>
      </c>
      <c r="DB10" s="58">
        <f t="shared" si="6"/>
        <v>0</v>
      </c>
      <c r="DC10" s="58">
        <f t="shared" si="6"/>
        <v>0</v>
      </c>
      <c r="DD10" s="58">
        <f t="shared" si="6"/>
        <v>0</v>
      </c>
      <c r="DE10" s="58">
        <f t="shared" si="6"/>
        <v>0</v>
      </c>
      <c r="DF10" s="58">
        <f t="shared" si="6"/>
        <v>0</v>
      </c>
      <c r="DG10" s="58">
        <f t="shared" si="6"/>
        <v>0</v>
      </c>
      <c r="DH10" s="58">
        <f t="shared" si="6"/>
        <v>0</v>
      </c>
      <c r="DI10" s="58">
        <f t="shared" si="6"/>
        <v>0</v>
      </c>
      <c r="DJ10" s="58">
        <f t="shared" si="6"/>
        <v>0</v>
      </c>
      <c r="DK10" s="58">
        <f t="shared" si="6"/>
        <v>0</v>
      </c>
    </row>
    <row r="11" spans="1:115" s="59" customFormat="1"/>
    <row r="12" spans="1:115" s="59" customFormat="1">
      <c r="A12" s="59">
        <f>SUM(H12:I12)</f>
        <v>185000000</v>
      </c>
      <c r="B12" s="59">
        <f>SUM(J12)</f>
        <v>300000000</v>
      </c>
      <c r="C12" s="59">
        <f>SUM(K12:R12)</f>
        <v>600000000</v>
      </c>
      <c r="D12" s="59">
        <f>SUM(S12:DK12)</f>
        <v>0</v>
      </c>
      <c r="E12" s="59">
        <f>SUM(A12:D12)</f>
        <v>1085000000</v>
      </c>
      <c r="F12" s="59" t="s">
        <v>93</v>
      </c>
      <c r="G12" s="59">
        <f>185000000+300000000+600000000</f>
        <v>1085000000</v>
      </c>
      <c r="H12" s="59">
        <f>185000000*0.5</f>
        <v>92500000</v>
      </c>
      <c r="I12" s="59">
        <f>185000000*0.5</f>
        <v>92500000</v>
      </c>
      <c r="J12" s="59">
        <f>300000000</f>
        <v>300000000</v>
      </c>
      <c r="K12" s="59">
        <f>600000000</f>
        <v>600000000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  <c r="Y12" s="59">
        <v>0</v>
      </c>
      <c r="Z12" s="59">
        <v>0</v>
      </c>
      <c r="AA12" s="59">
        <v>0</v>
      </c>
      <c r="AB12" s="59">
        <v>0</v>
      </c>
      <c r="AC12" s="59">
        <v>0</v>
      </c>
      <c r="AD12" s="59">
        <v>0</v>
      </c>
      <c r="AE12" s="59">
        <v>0</v>
      </c>
      <c r="AF12" s="59">
        <v>0</v>
      </c>
      <c r="AG12" s="59">
        <v>0</v>
      </c>
      <c r="AH12" s="59">
        <v>0</v>
      </c>
      <c r="AI12" s="59">
        <v>0</v>
      </c>
      <c r="AJ12" s="59">
        <v>0</v>
      </c>
      <c r="AK12" s="59">
        <v>0</v>
      </c>
      <c r="AL12" s="59">
        <v>0</v>
      </c>
      <c r="AM12" s="59">
        <v>0</v>
      </c>
      <c r="AN12" s="59">
        <v>0</v>
      </c>
      <c r="AO12" s="59">
        <v>0</v>
      </c>
      <c r="AP12" s="59">
        <v>0</v>
      </c>
      <c r="AQ12" s="59">
        <v>0</v>
      </c>
      <c r="AR12" s="59">
        <v>0</v>
      </c>
      <c r="AS12" s="59">
        <v>0</v>
      </c>
      <c r="AT12" s="59">
        <v>0</v>
      </c>
      <c r="AU12" s="59">
        <v>0</v>
      </c>
      <c r="AV12" s="59">
        <v>0</v>
      </c>
      <c r="AW12" s="59">
        <v>0</v>
      </c>
      <c r="AX12" s="59">
        <v>0</v>
      </c>
      <c r="AY12" s="59">
        <v>0</v>
      </c>
      <c r="AZ12" s="59">
        <v>0</v>
      </c>
      <c r="BA12" s="59">
        <v>0</v>
      </c>
      <c r="BB12" s="59">
        <v>0</v>
      </c>
      <c r="BC12" s="59">
        <v>0</v>
      </c>
      <c r="BD12" s="59">
        <v>0</v>
      </c>
      <c r="BE12" s="59">
        <v>0</v>
      </c>
      <c r="BF12" s="59">
        <v>0</v>
      </c>
      <c r="BG12" s="59">
        <v>0</v>
      </c>
      <c r="BH12" s="59">
        <v>0</v>
      </c>
      <c r="BI12" s="59">
        <v>0</v>
      </c>
      <c r="BJ12" s="59">
        <v>0</v>
      </c>
      <c r="BK12" s="59">
        <v>0</v>
      </c>
      <c r="BL12" s="59">
        <v>0</v>
      </c>
      <c r="BM12" s="59">
        <v>0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v>0</v>
      </c>
      <c r="BZ12" s="59">
        <v>0</v>
      </c>
      <c r="CA12" s="59">
        <v>0</v>
      </c>
      <c r="CB12" s="59">
        <v>0</v>
      </c>
      <c r="CC12" s="59">
        <v>0</v>
      </c>
      <c r="CD12" s="59">
        <v>0</v>
      </c>
      <c r="CE12" s="59">
        <v>0</v>
      </c>
      <c r="CF12" s="59">
        <v>0</v>
      </c>
      <c r="CG12" s="59">
        <v>0</v>
      </c>
      <c r="CH12" s="59">
        <v>0</v>
      </c>
      <c r="CI12" s="59">
        <v>0</v>
      </c>
      <c r="CJ12" s="59">
        <v>0</v>
      </c>
      <c r="CK12" s="59">
        <v>0</v>
      </c>
      <c r="CL12" s="59">
        <v>0</v>
      </c>
      <c r="CM12" s="59">
        <v>0</v>
      </c>
      <c r="CN12" s="59">
        <v>0</v>
      </c>
      <c r="CO12" s="59">
        <v>0</v>
      </c>
      <c r="CP12" s="59">
        <v>0</v>
      </c>
      <c r="CQ12" s="59">
        <v>0</v>
      </c>
      <c r="CR12" s="59">
        <v>0</v>
      </c>
      <c r="CS12" s="59">
        <v>0</v>
      </c>
      <c r="CT12" s="59">
        <v>0</v>
      </c>
      <c r="CU12" s="59">
        <v>0</v>
      </c>
      <c r="CV12" s="59">
        <v>0</v>
      </c>
      <c r="CW12" s="59">
        <v>0</v>
      </c>
      <c r="CX12" s="59">
        <v>0</v>
      </c>
      <c r="CY12" s="59">
        <v>0</v>
      </c>
      <c r="CZ12" s="59">
        <v>0</v>
      </c>
      <c r="DA12" s="59">
        <v>0</v>
      </c>
      <c r="DB12" s="59">
        <v>0</v>
      </c>
      <c r="DC12" s="59">
        <v>0</v>
      </c>
      <c r="DD12" s="59">
        <v>0</v>
      </c>
      <c r="DE12" s="59">
        <v>0</v>
      </c>
      <c r="DF12" s="59">
        <v>0</v>
      </c>
      <c r="DG12" s="59">
        <v>0</v>
      </c>
      <c r="DH12" s="59">
        <v>0</v>
      </c>
      <c r="DI12" s="59">
        <v>0</v>
      </c>
      <c r="DJ12" s="59">
        <v>0</v>
      </c>
      <c r="DK12" s="59">
        <v>0</v>
      </c>
    </row>
    <row r="13" spans="1:115" s="59" customFormat="1">
      <c r="A13" s="59">
        <f>SUM(H13:I13)</f>
        <v>0</v>
      </c>
      <c r="B13" s="59">
        <f t="shared" ref="B13:B16" si="7">SUM(J13)</f>
        <v>0</v>
      </c>
      <c r="C13" s="59">
        <f t="shared" ref="C13:C16" si="8">SUM(K13:R13)</f>
        <v>389130000</v>
      </c>
      <c r="D13" s="59">
        <f t="shared" ref="D13:D16" si="9">SUM(S13:DK13)</f>
        <v>0</v>
      </c>
      <c r="E13" s="59">
        <f t="shared" ref="E13:E16" si="10">SUM(A13:D13)</f>
        <v>389130000</v>
      </c>
      <c r="F13" s="59" t="s">
        <v>126</v>
      </c>
      <c r="G13" s="59">
        <f>SUM(L13:R13)</f>
        <v>389130000</v>
      </c>
      <c r="H13" s="59">
        <v>0</v>
      </c>
      <c r="I13" s="59">
        <v>0</v>
      </c>
      <c r="J13" s="59">
        <v>0</v>
      </c>
      <c r="K13" s="59">
        <v>0</v>
      </c>
      <c r="L13" s="59">
        <f>(0.105*$G$15)/7</f>
        <v>55590000</v>
      </c>
      <c r="M13" s="59">
        <f t="shared" ref="M13:R13" si="11">(0.105*$G$15)/7</f>
        <v>55590000</v>
      </c>
      <c r="N13" s="59">
        <f t="shared" si="11"/>
        <v>55590000</v>
      </c>
      <c r="O13" s="59">
        <f t="shared" si="11"/>
        <v>55590000</v>
      </c>
      <c r="P13" s="59">
        <f t="shared" si="11"/>
        <v>55590000</v>
      </c>
      <c r="Q13" s="59">
        <f t="shared" si="11"/>
        <v>55590000</v>
      </c>
      <c r="R13" s="59">
        <f t="shared" si="11"/>
        <v>55590000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9">
        <v>0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0</v>
      </c>
      <c r="AI13" s="59">
        <v>0</v>
      </c>
      <c r="AJ13" s="59">
        <v>0</v>
      </c>
      <c r="AK13" s="59">
        <v>0</v>
      </c>
      <c r="AL13" s="59">
        <v>0</v>
      </c>
      <c r="AM13" s="59">
        <v>0</v>
      </c>
      <c r="AN13" s="59">
        <v>0</v>
      </c>
      <c r="AO13" s="59">
        <v>0</v>
      </c>
      <c r="AP13" s="59">
        <v>0</v>
      </c>
      <c r="AQ13" s="59">
        <v>0</v>
      </c>
      <c r="AR13" s="59">
        <v>0</v>
      </c>
      <c r="AS13" s="59">
        <v>0</v>
      </c>
      <c r="AT13" s="59">
        <v>0</v>
      </c>
      <c r="AU13" s="59">
        <v>0</v>
      </c>
      <c r="AV13" s="59">
        <v>0</v>
      </c>
      <c r="AW13" s="59">
        <v>0</v>
      </c>
      <c r="AX13" s="59">
        <v>0</v>
      </c>
      <c r="AY13" s="59">
        <v>0</v>
      </c>
      <c r="AZ13" s="59">
        <v>0</v>
      </c>
      <c r="BA13" s="59">
        <v>0</v>
      </c>
      <c r="BB13" s="59">
        <v>0</v>
      </c>
      <c r="BC13" s="59">
        <v>0</v>
      </c>
      <c r="BD13" s="59">
        <v>0</v>
      </c>
      <c r="BE13" s="59">
        <v>0</v>
      </c>
      <c r="BF13" s="59">
        <v>0</v>
      </c>
      <c r="BG13" s="59">
        <v>0</v>
      </c>
      <c r="BH13" s="59">
        <v>0</v>
      </c>
      <c r="BI13" s="59">
        <v>0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v>0</v>
      </c>
      <c r="BZ13" s="59">
        <v>0</v>
      </c>
      <c r="CA13" s="59">
        <v>0</v>
      </c>
      <c r="CB13" s="59">
        <v>0</v>
      </c>
      <c r="CC13" s="59">
        <v>0</v>
      </c>
      <c r="CD13" s="59">
        <v>0</v>
      </c>
      <c r="CE13" s="59">
        <v>0</v>
      </c>
      <c r="CF13" s="59">
        <v>0</v>
      </c>
      <c r="CG13" s="59">
        <v>0</v>
      </c>
      <c r="CH13" s="59">
        <v>0</v>
      </c>
      <c r="CI13" s="59">
        <v>0</v>
      </c>
      <c r="CJ13" s="59">
        <v>0</v>
      </c>
      <c r="CK13" s="59">
        <v>0</v>
      </c>
      <c r="CL13" s="59">
        <v>0</v>
      </c>
      <c r="CM13" s="59">
        <v>0</v>
      </c>
      <c r="CN13" s="59">
        <v>0</v>
      </c>
      <c r="CO13" s="59">
        <v>0</v>
      </c>
      <c r="CP13" s="59">
        <v>0</v>
      </c>
      <c r="CQ13" s="59">
        <v>0</v>
      </c>
      <c r="CR13" s="59">
        <v>0</v>
      </c>
      <c r="CS13" s="59">
        <v>0</v>
      </c>
      <c r="CT13" s="59">
        <v>0</v>
      </c>
      <c r="CU13" s="59">
        <v>0</v>
      </c>
      <c r="CV13" s="59">
        <v>0</v>
      </c>
      <c r="CW13" s="59">
        <v>0</v>
      </c>
      <c r="CX13" s="59">
        <v>0</v>
      </c>
      <c r="CY13" s="59">
        <v>0</v>
      </c>
      <c r="CZ13" s="59">
        <v>0</v>
      </c>
      <c r="DA13" s="59">
        <v>0</v>
      </c>
      <c r="DB13" s="59">
        <v>0</v>
      </c>
      <c r="DC13" s="59">
        <v>0</v>
      </c>
      <c r="DD13" s="59">
        <v>0</v>
      </c>
      <c r="DE13" s="59">
        <v>0</v>
      </c>
      <c r="DF13" s="59">
        <v>0</v>
      </c>
      <c r="DG13" s="59">
        <v>0</v>
      </c>
      <c r="DH13" s="59">
        <v>0</v>
      </c>
      <c r="DI13" s="59">
        <v>0</v>
      </c>
      <c r="DJ13" s="59">
        <v>0</v>
      </c>
      <c r="DK13" s="59">
        <v>0</v>
      </c>
    </row>
    <row r="14" spans="1:115" s="59" customFormat="1">
      <c r="A14" s="59">
        <f t="shared" ref="A14:A15" si="12">SUM(H14:I14)</f>
        <v>47666666.666666664</v>
      </c>
      <c r="B14" s="59">
        <f t="shared" si="7"/>
        <v>47666666.666666664</v>
      </c>
      <c r="C14" s="59">
        <f t="shared" si="8"/>
        <v>47666666.666666664</v>
      </c>
      <c r="D14" s="59">
        <f t="shared" si="9"/>
        <v>0</v>
      </c>
      <c r="E14" s="59">
        <f t="shared" si="10"/>
        <v>143000000</v>
      </c>
      <c r="F14" s="59" t="s">
        <v>71</v>
      </c>
      <c r="G14" s="59">
        <f>143000000</f>
        <v>143000000</v>
      </c>
      <c r="H14" s="59">
        <f>(G14/3)*0.25</f>
        <v>11916666.666666666</v>
      </c>
      <c r="I14" s="59">
        <f>(G14/3)*0.75</f>
        <v>35750000</v>
      </c>
      <c r="J14" s="59">
        <f>(G14/3)*1</f>
        <v>47666666.666666664</v>
      </c>
      <c r="K14" s="59">
        <f>(G14/3)*1</f>
        <v>47666666.666666664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0</v>
      </c>
      <c r="AB14" s="59">
        <v>0</v>
      </c>
      <c r="AC14" s="59">
        <v>0</v>
      </c>
      <c r="AD14" s="59">
        <v>0</v>
      </c>
      <c r="AE14" s="59">
        <v>0</v>
      </c>
      <c r="AF14" s="59">
        <v>0</v>
      </c>
      <c r="AG14" s="59">
        <v>0</v>
      </c>
      <c r="AH14" s="59">
        <v>0</v>
      </c>
      <c r="AI14" s="59">
        <v>0</v>
      </c>
      <c r="AJ14" s="59">
        <v>0</v>
      </c>
      <c r="AK14" s="59">
        <v>0</v>
      </c>
      <c r="AL14" s="59">
        <v>0</v>
      </c>
      <c r="AM14" s="59">
        <v>0</v>
      </c>
      <c r="AN14" s="59">
        <v>0</v>
      </c>
      <c r="AO14" s="59">
        <v>0</v>
      </c>
      <c r="AP14" s="59">
        <v>0</v>
      </c>
      <c r="AQ14" s="59">
        <v>0</v>
      </c>
      <c r="AR14" s="59">
        <v>0</v>
      </c>
      <c r="AS14" s="59">
        <v>0</v>
      </c>
      <c r="AT14" s="59">
        <v>0</v>
      </c>
      <c r="AU14" s="59">
        <v>0</v>
      </c>
      <c r="AV14" s="59">
        <v>0</v>
      </c>
      <c r="AW14" s="59">
        <v>0</v>
      </c>
      <c r="AX14" s="59">
        <v>0</v>
      </c>
      <c r="AY14" s="59">
        <v>0</v>
      </c>
      <c r="AZ14" s="59">
        <v>0</v>
      </c>
      <c r="BA14" s="59">
        <v>0</v>
      </c>
      <c r="BB14" s="59">
        <v>0</v>
      </c>
      <c r="BC14" s="59">
        <v>0</v>
      </c>
      <c r="BD14" s="59">
        <v>0</v>
      </c>
      <c r="BE14" s="59">
        <v>0</v>
      </c>
      <c r="BF14" s="59">
        <v>0</v>
      </c>
      <c r="BG14" s="59">
        <v>0</v>
      </c>
      <c r="BH14" s="59">
        <v>0</v>
      </c>
      <c r="BI14" s="59">
        <v>0</v>
      </c>
      <c r="BJ14" s="59">
        <v>0</v>
      </c>
      <c r="BK14" s="59">
        <v>0</v>
      </c>
      <c r="BL14" s="59">
        <v>0</v>
      </c>
      <c r="BM14" s="59">
        <v>0</v>
      </c>
      <c r="BN14" s="59">
        <v>0</v>
      </c>
      <c r="BO14" s="59">
        <v>0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0</v>
      </c>
      <c r="BW14" s="59">
        <v>0</v>
      </c>
      <c r="BX14" s="59">
        <v>0</v>
      </c>
      <c r="BY14" s="59">
        <v>0</v>
      </c>
      <c r="BZ14" s="59">
        <v>0</v>
      </c>
      <c r="CA14" s="59">
        <v>0</v>
      </c>
      <c r="CB14" s="59">
        <v>0</v>
      </c>
      <c r="CC14" s="59">
        <v>0</v>
      </c>
      <c r="CD14" s="59">
        <v>0</v>
      </c>
      <c r="CE14" s="59">
        <v>0</v>
      </c>
      <c r="CF14" s="59">
        <v>0</v>
      </c>
      <c r="CG14" s="59">
        <v>0</v>
      </c>
      <c r="CH14" s="59">
        <v>0</v>
      </c>
      <c r="CI14" s="59">
        <v>0</v>
      </c>
      <c r="CJ14" s="59">
        <v>0</v>
      </c>
      <c r="CK14" s="59">
        <v>0</v>
      </c>
      <c r="CL14" s="59">
        <v>0</v>
      </c>
      <c r="CM14" s="59">
        <v>0</v>
      </c>
      <c r="CN14" s="59">
        <v>0</v>
      </c>
      <c r="CO14" s="59">
        <v>0</v>
      </c>
      <c r="CP14" s="59">
        <v>0</v>
      </c>
      <c r="CQ14" s="59">
        <v>0</v>
      </c>
      <c r="CR14" s="59">
        <v>0</v>
      </c>
      <c r="CS14" s="59">
        <v>0</v>
      </c>
      <c r="CT14" s="59">
        <v>0</v>
      </c>
      <c r="CU14" s="59">
        <v>0</v>
      </c>
      <c r="CV14" s="59">
        <v>0</v>
      </c>
      <c r="CW14" s="59">
        <v>0</v>
      </c>
      <c r="CX14" s="59">
        <v>0</v>
      </c>
      <c r="CY14" s="59">
        <v>0</v>
      </c>
      <c r="CZ14" s="59">
        <v>0</v>
      </c>
      <c r="DA14" s="59">
        <v>0</v>
      </c>
      <c r="DB14" s="59">
        <v>0</v>
      </c>
      <c r="DC14" s="59">
        <v>0</v>
      </c>
      <c r="DD14" s="59">
        <v>0</v>
      </c>
      <c r="DE14" s="59">
        <v>0</v>
      </c>
      <c r="DF14" s="59">
        <v>0</v>
      </c>
      <c r="DG14" s="59">
        <v>0</v>
      </c>
      <c r="DH14" s="59">
        <v>0</v>
      </c>
      <c r="DI14" s="59">
        <v>0</v>
      </c>
      <c r="DJ14" s="59">
        <v>0</v>
      </c>
      <c r="DK14" s="59">
        <v>0</v>
      </c>
    </row>
    <row r="15" spans="1:115" s="59" customFormat="1">
      <c r="A15" s="59">
        <f t="shared" si="12"/>
        <v>0</v>
      </c>
      <c r="B15" s="59">
        <f t="shared" si="7"/>
        <v>0</v>
      </c>
      <c r="C15" s="59">
        <f t="shared" si="8"/>
        <v>3705999999.9999995</v>
      </c>
      <c r="D15" s="59">
        <f t="shared" si="9"/>
        <v>0</v>
      </c>
      <c r="E15" s="59">
        <f t="shared" si="10"/>
        <v>3705999999.9999995</v>
      </c>
      <c r="F15" s="59" t="s">
        <v>72</v>
      </c>
      <c r="G15" s="59">
        <f>3706000000</f>
        <v>3706000000</v>
      </c>
      <c r="H15" s="59">
        <v>0</v>
      </c>
      <c r="I15" s="59">
        <v>0</v>
      </c>
      <c r="J15" s="59">
        <v>0</v>
      </c>
      <c r="K15" s="59">
        <f>(G15/7)*0.75</f>
        <v>397071428.57142854</v>
      </c>
      <c r="L15" s="59">
        <f>(G15/7)*1</f>
        <v>529428571.4285714</v>
      </c>
      <c r="M15" s="59">
        <f>(G15/7)*1.2</f>
        <v>635314285.71428561</v>
      </c>
      <c r="N15" s="59">
        <f>(G15/7)*1</f>
        <v>529428571.4285714</v>
      </c>
      <c r="O15" s="59">
        <f>(G15/7)*1</f>
        <v>529428571.4285714</v>
      </c>
      <c r="P15" s="59">
        <f>(G15/7)*1</f>
        <v>529428571.4285714</v>
      </c>
      <c r="Q15" s="59">
        <f>(G15/7)*0.8</f>
        <v>423542857.14285713</v>
      </c>
      <c r="R15" s="59">
        <f>(G15/7)*0.25</f>
        <v>132357142.85714285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  <c r="Y15" s="59">
        <v>0</v>
      </c>
      <c r="Z15" s="59">
        <v>0</v>
      </c>
      <c r="AA15" s="59">
        <v>0</v>
      </c>
      <c r="AB15" s="59">
        <v>0</v>
      </c>
      <c r="AC15" s="59">
        <v>0</v>
      </c>
      <c r="AD15" s="59">
        <v>0</v>
      </c>
      <c r="AE15" s="59">
        <v>0</v>
      </c>
      <c r="AF15" s="59">
        <v>0</v>
      </c>
      <c r="AG15" s="59">
        <v>0</v>
      </c>
      <c r="AH15" s="59">
        <v>0</v>
      </c>
      <c r="AI15" s="59">
        <v>0</v>
      </c>
      <c r="AJ15" s="59">
        <v>0</v>
      </c>
      <c r="AK15" s="59">
        <v>0</v>
      </c>
      <c r="AL15" s="59">
        <v>0</v>
      </c>
      <c r="AM15" s="59">
        <v>0</v>
      </c>
      <c r="AN15" s="59">
        <v>0</v>
      </c>
      <c r="AO15" s="59">
        <v>0</v>
      </c>
      <c r="AP15" s="59">
        <v>0</v>
      </c>
      <c r="AQ15" s="59">
        <v>0</v>
      </c>
      <c r="AR15" s="59">
        <v>0</v>
      </c>
      <c r="AS15" s="59">
        <v>0</v>
      </c>
      <c r="AT15" s="59">
        <v>0</v>
      </c>
      <c r="AU15" s="59">
        <v>0</v>
      </c>
      <c r="AV15" s="59">
        <v>0</v>
      </c>
      <c r="AW15" s="59">
        <v>0</v>
      </c>
      <c r="AX15" s="59">
        <v>0</v>
      </c>
      <c r="AY15" s="59">
        <v>0</v>
      </c>
      <c r="AZ15" s="59">
        <v>0</v>
      </c>
      <c r="BA15" s="59">
        <v>0</v>
      </c>
      <c r="BB15" s="59">
        <v>0</v>
      </c>
      <c r="BC15" s="59">
        <v>0</v>
      </c>
      <c r="BD15" s="59">
        <v>0</v>
      </c>
      <c r="BE15" s="59">
        <v>0</v>
      </c>
      <c r="BF15" s="59">
        <v>0</v>
      </c>
      <c r="BG15" s="59">
        <v>0</v>
      </c>
      <c r="BH15" s="59">
        <v>0</v>
      </c>
      <c r="BI15" s="59">
        <v>0</v>
      </c>
      <c r="BJ15" s="59">
        <v>0</v>
      </c>
      <c r="BK15" s="59">
        <v>0</v>
      </c>
      <c r="BL15" s="59">
        <v>0</v>
      </c>
      <c r="BM15" s="59">
        <v>0</v>
      </c>
      <c r="BN15" s="59">
        <v>0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0</v>
      </c>
      <c r="BU15" s="59">
        <v>0</v>
      </c>
      <c r="BV15" s="59">
        <v>0</v>
      </c>
      <c r="BW15" s="59">
        <v>0</v>
      </c>
      <c r="BX15" s="59">
        <v>0</v>
      </c>
      <c r="BY15" s="59">
        <v>0</v>
      </c>
      <c r="BZ15" s="59">
        <v>0</v>
      </c>
      <c r="CA15" s="59">
        <v>0</v>
      </c>
      <c r="CB15" s="59">
        <v>0</v>
      </c>
      <c r="CC15" s="59">
        <v>0</v>
      </c>
      <c r="CD15" s="59">
        <v>0</v>
      </c>
      <c r="CE15" s="59">
        <v>0</v>
      </c>
      <c r="CF15" s="59">
        <v>0</v>
      </c>
      <c r="CG15" s="59">
        <v>0</v>
      </c>
      <c r="CH15" s="59">
        <v>0</v>
      </c>
      <c r="CI15" s="59">
        <v>0</v>
      </c>
      <c r="CJ15" s="59">
        <v>0</v>
      </c>
      <c r="CK15" s="59">
        <v>0</v>
      </c>
      <c r="CL15" s="59">
        <v>0</v>
      </c>
      <c r="CM15" s="59">
        <v>0</v>
      </c>
      <c r="CN15" s="59">
        <v>0</v>
      </c>
      <c r="CO15" s="59">
        <v>0</v>
      </c>
      <c r="CP15" s="59">
        <v>0</v>
      </c>
      <c r="CQ15" s="59">
        <v>0</v>
      </c>
      <c r="CR15" s="59">
        <v>0</v>
      </c>
      <c r="CS15" s="59">
        <v>0</v>
      </c>
      <c r="CT15" s="59">
        <v>0</v>
      </c>
      <c r="CU15" s="59">
        <v>0</v>
      </c>
      <c r="CV15" s="59">
        <v>0</v>
      </c>
      <c r="CW15" s="59">
        <v>0</v>
      </c>
      <c r="CX15" s="59">
        <v>0</v>
      </c>
      <c r="CY15" s="59">
        <v>0</v>
      </c>
      <c r="CZ15" s="59">
        <v>0</v>
      </c>
      <c r="DA15" s="59">
        <v>0</v>
      </c>
      <c r="DB15" s="59">
        <v>0</v>
      </c>
      <c r="DC15" s="59">
        <v>0</v>
      </c>
      <c r="DD15" s="59">
        <v>0</v>
      </c>
      <c r="DE15" s="59">
        <v>0</v>
      </c>
      <c r="DF15" s="59">
        <v>0</v>
      </c>
      <c r="DG15" s="59">
        <v>0</v>
      </c>
      <c r="DH15" s="59">
        <v>0</v>
      </c>
      <c r="DI15" s="59">
        <v>0</v>
      </c>
      <c r="DJ15" s="59">
        <v>0</v>
      </c>
      <c r="DK15" s="59">
        <v>0</v>
      </c>
    </row>
    <row r="16" spans="1:115" s="59" customFormat="1">
      <c r="A16" s="59">
        <f t="shared" ref="A16:A17" si="13">SUM(H16:I16)</f>
        <v>5000000</v>
      </c>
      <c r="B16" s="59">
        <f t="shared" si="7"/>
        <v>7500000</v>
      </c>
      <c r="C16" s="59">
        <f t="shared" si="8"/>
        <v>37500000</v>
      </c>
      <c r="D16" s="59">
        <f t="shared" si="9"/>
        <v>0</v>
      </c>
      <c r="E16" s="59">
        <f t="shared" si="10"/>
        <v>50000000</v>
      </c>
      <c r="F16" s="59" t="s">
        <v>103</v>
      </c>
      <c r="G16" s="59">
        <v>50000000</v>
      </c>
      <c r="H16" s="59">
        <f>G16*0.02</f>
        <v>1000000</v>
      </c>
      <c r="I16" s="59">
        <f>G16*0.08</f>
        <v>4000000</v>
      </c>
      <c r="J16" s="59">
        <f>G16*0.15</f>
        <v>7500000</v>
      </c>
      <c r="K16" s="59">
        <f>G16*0.25</f>
        <v>12500000</v>
      </c>
      <c r="L16" s="59">
        <f>G16*0.25</f>
        <v>12500000</v>
      </c>
      <c r="M16" s="59">
        <f>G16*0.25</f>
        <v>12500000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  <c r="AB16" s="59">
        <v>0</v>
      </c>
      <c r="AC16" s="59">
        <v>0</v>
      </c>
      <c r="AD16" s="59">
        <v>0</v>
      </c>
      <c r="AE16" s="59">
        <v>0</v>
      </c>
      <c r="AF16" s="59">
        <v>0</v>
      </c>
      <c r="AG16" s="59">
        <v>0</v>
      </c>
      <c r="AH16" s="59">
        <v>0</v>
      </c>
      <c r="AI16" s="59">
        <v>0</v>
      </c>
      <c r="AJ16" s="59">
        <v>0</v>
      </c>
      <c r="AK16" s="59">
        <v>0</v>
      </c>
      <c r="AL16" s="59">
        <v>0</v>
      </c>
      <c r="AM16" s="59">
        <v>0</v>
      </c>
      <c r="AN16" s="59">
        <v>0</v>
      </c>
      <c r="AO16" s="59">
        <v>0</v>
      </c>
      <c r="AP16" s="59">
        <v>0</v>
      </c>
      <c r="AQ16" s="59">
        <v>0</v>
      </c>
      <c r="AR16" s="59">
        <v>0</v>
      </c>
      <c r="AS16" s="59">
        <v>0</v>
      </c>
      <c r="AT16" s="59">
        <v>0</v>
      </c>
      <c r="AU16" s="59">
        <v>0</v>
      </c>
      <c r="AV16" s="59">
        <v>0</v>
      </c>
      <c r="AW16" s="59">
        <v>0</v>
      </c>
      <c r="AX16" s="59">
        <v>0</v>
      </c>
      <c r="AY16" s="59">
        <v>0</v>
      </c>
      <c r="AZ16" s="59">
        <v>0</v>
      </c>
      <c r="BA16" s="59">
        <v>0</v>
      </c>
      <c r="BB16" s="59">
        <v>0</v>
      </c>
      <c r="BC16" s="59">
        <v>0</v>
      </c>
      <c r="BD16" s="59">
        <v>0</v>
      </c>
      <c r="BE16" s="59">
        <v>0</v>
      </c>
      <c r="BF16" s="59">
        <v>0</v>
      </c>
      <c r="BG16" s="59">
        <v>0</v>
      </c>
      <c r="BH16" s="59">
        <v>0</v>
      </c>
      <c r="BI16" s="59">
        <v>0</v>
      </c>
      <c r="BJ16" s="59">
        <v>0</v>
      </c>
      <c r="BK16" s="59">
        <v>0</v>
      </c>
      <c r="BL16" s="59">
        <v>0</v>
      </c>
      <c r="BM16" s="59">
        <v>0</v>
      </c>
      <c r="BN16" s="59">
        <v>0</v>
      </c>
      <c r="BO16" s="59">
        <v>0</v>
      </c>
      <c r="BP16" s="59">
        <v>0</v>
      </c>
      <c r="BQ16" s="59">
        <v>0</v>
      </c>
      <c r="BR16" s="59">
        <v>0</v>
      </c>
      <c r="BS16" s="59">
        <v>0</v>
      </c>
      <c r="BT16" s="59">
        <v>0</v>
      </c>
      <c r="BU16" s="59">
        <v>0</v>
      </c>
      <c r="BV16" s="59">
        <v>0</v>
      </c>
      <c r="BW16" s="59">
        <v>0</v>
      </c>
      <c r="BX16" s="59">
        <v>0</v>
      </c>
      <c r="BY16" s="59">
        <v>0</v>
      </c>
      <c r="BZ16" s="59">
        <v>0</v>
      </c>
      <c r="CA16" s="59">
        <v>0</v>
      </c>
      <c r="CB16" s="59">
        <v>0</v>
      </c>
      <c r="CC16" s="59">
        <v>0</v>
      </c>
      <c r="CD16" s="59">
        <v>0</v>
      </c>
      <c r="CE16" s="59">
        <v>0</v>
      </c>
      <c r="CF16" s="59">
        <v>0</v>
      </c>
      <c r="CG16" s="59">
        <v>0</v>
      </c>
      <c r="CH16" s="59">
        <v>0</v>
      </c>
      <c r="CI16" s="59">
        <v>0</v>
      </c>
      <c r="CJ16" s="59">
        <v>0</v>
      </c>
      <c r="CK16" s="59">
        <v>0</v>
      </c>
      <c r="CL16" s="59">
        <v>0</v>
      </c>
      <c r="CM16" s="59">
        <v>0</v>
      </c>
      <c r="CN16" s="59">
        <v>0</v>
      </c>
      <c r="CO16" s="59">
        <v>0</v>
      </c>
      <c r="CP16" s="59">
        <v>0</v>
      </c>
      <c r="CQ16" s="59">
        <v>0</v>
      </c>
      <c r="CR16" s="59">
        <v>0</v>
      </c>
      <c r="CS16" s="59">
        <v>0</v>
      </c>
      <c r="CT16" s="59">
        <v>0</v>
      </c>
      <c r="CU16" s="59">
        <v>0</v>
      </c>
      <c r="CV16" s="59">
        <v>0</v>
      </c>
      <c r="CW16" s="59">
        <v>0</v>
      </c>
      <c r="CX16" s="59">
        <v>0</v>
      </c>
      <c r="CY16" s="59">
        <v>0</v>
      </c>
      <c r="CZ16" s="59">
        <v>0</v>
      </c>
      <c r="DA16" s="59">
        <v>0</v>
      </c>
      <c r="DB16" s="59">
        <v>0</v>
      </c>
      <c r="DC16" s="59">
        <v>0</v>
      </c>
      <c r="DD16" s="59">
        <v>0</v>
      </c>
      <c r="DE16" s="59">
        <v>0</v>
      </c>
      <c r="DF16" s="59">
        <v>0</v>
      </c>
      <c r="DG16" s="59">
        <v>0</v>
      </c>
      <c r="DH16" s="59">
        <v>0</v>
      </c>
      <c r="DI16" s="59">
        <v>0</v>
      </c>
      <c r="DJ16" s="59">
        <v>0</v>
      </c>
      <c r="DK16" s="59">
        <v>0</v>
      </c>
    </row>
    <row r="17" spans="1:115" s="60" customFormat="1" ht="15.75" thickBot="1">
      <c r="A17" s="60">
        <f t="shared" si="13"/>
        <v>0</v>
      </c>
      <c r="B17" s="60">
        <f t="shared" ref="B17" si="14">SUM(J17)</f>
        <v>0</v>
      </c>
      <c r="C17" s="60">
        <f t="shared" ref="C17" si="15">SUM(K17:R17)</f>
        <v>330000000</v>
      </c>
      <c r="D17" s="60">
        <f>SUM(S17:DK17)</f>
        <v>0</v>
      </c>
      <c r="E17" s="60">
        <f>SUM(A17:D17)</f>
        <v>330000000</v>
      </c>
      <c r="F17" s="60" t="s">
        <v>70</v>
      </c>
      <c r="G17" s="60">
        <f>330000000</f>
        <v>330000000</v>
      </c>
      <c r="H17" s="60">
        <v>0</v>
      </c>
      <c r="I17" s="60">
        <v>0</v>
      </c>
      <c r="J17" s="60">
        <v>0</v>
      </c>
      <c r="K17" s="60">
        <f>(G17/7)*0.1</f>
        <v>4714285.7142857146</v>
      </c>
      <c r="L17" s="60">
        <f>(G17/7)*0.2</f>
        <v>9428571.4285714291</v>
      </c>
      <c r="M17" s="60">
        <f>(G17/7)*0.7</f>
        <v>32999999.999999996</v>
      </c>
      <c r="N17" s="60">
        <f>(G17/7)*1</f>
        <v>47142857.142857142</v>
      </c>
      <c r="O17" s="60">
        <f>(G17/7)*1</f>
        <v>47142857.142857142</v>
      </c>
      <c r="P17" s="60">
        <f>(G17/7)*1.2</f>
        <v>56571428.571428567</v>
      </c>
      <c r="Q17" s="60">
        <f>(G17/7)*1.3</f>
        <v>61285714.285714284</v>
      </c>
      <c r="R17" s="60">
        <f>(G17/7)*1.5</f>
        <v>70714285.714285716</v>
      </c>
      <c r="S17" s="60">
        <v>0</v>
      </c>
      <c r="T17" s="60">
        <v>0</v>
      </c>
      <c r="U17" s="60">
        <v>0</v>
      </c>
      <c r="V17" s="60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60">
        <v>0</v>
      </c>
      <c r="AD17" s="60">
        <v>0</v>
      </c>
      <c r="AE17" s="60">
        <v>0</v>
      </c>
      <c r="AF17" s="60">
        <v>0</v>
      </c>
      <c r="AG17" s="60">
        <v>0</v>
      </c>
      <c r="AH17" s="60">
        <v>0</v>
      </c>
      <c r="AI17" s="60">
        <v>0</v>
      </c>
      <c r="AJ17" s="60">
        <v>0</v>
      </c>
      <c r="AK17" s="60">
        <v>0</v>
      </c>
      <c r="AL17" s="60">
        <v>0</v>
      </c>
      <c r="AM17" s="60">
        <v>0</v>
      </c>
      <c r="AN17" s="60">
        <v>0</v>
      </c>
      <c r="AO17" s="60">
        <v>0</v>
      </c>
      <c r="AP17" s="60">
        <v>0</v>
      </c>
      <c r="AQ17" s="60">
        <v>0</v>
      </c>
      <c r="AR17" s="60">
        <v>0</v>
      </c>
      <c r="AS17" s="60">
        <v>0</v>
      </c>
      <c r="AT17" s="60">
        <v>0</v>
      </c>
      <c r="AU17" s="60">
        <v>0</v>
      </c>
      <c r="AV17" s="60">
        <v>0</v>
      </c>
      <c r="AW17" s="60">
        <v>0</v>
      </c>
      <c r="AX17" s="60">
        <v>0</v>
      </c>
      <c r="AY17" s="60">
        <v>0</v>
      </c>
      <c r="AZ17" s="60">
        <v>0</v>
      </c>
      <c r="BA17" s="60">
        <v>0</v>
      </c>
      <c r="BB17" s="60">
        <v>0</v>
      </c>
      <c r="BC17" s="60">
        <v>0</v>
      </c>
      <c r="BD17" s="60">
        <v>0</v>
      </c>
      <c r="BE17" s="60">
        <v>0</v>
      </c>
      <c r="BF17" s="60">
        <v>0</v>
      </c>
      <c r="BG17" s="60">
        <v>0</v>
      </c>
      <c r="BH17" s="60">
        <v>0</v>
      </c>
      <c r="BI17" s="60">
        <v>0</v>
      </c>
      <c r="BJ17" s="60">
        <v>0</v>
      </c>
      <c r="BK17" s="60">
        <v>0</v>
      </c>
      <c r="BL17" s="60">
        <v>0</v>
      </c>
      <c r="BM17" s="60">
        <v>0</v>
      </c>
      <c r="BN17" s="60">
        <v>0</v>
      </c>
      <c r="BO17" s="60">
        <v>0</v>
      </c>
      <c r="BP17" s="60">
        <v>0</v>
      </c>
      <c r="BQ17" s="60">
        <v>0</v>
      </c>
      <c r="BR17" s="60">
        <v>0</v>
      </c>
      <c r="BS17" s="60">
        <v>0</v>
      </c>
      <c r="BT17" s="60">
        <v>0</v>
      </c>
      <c r="BU17" s="60">
        <v>0</v>
      </c>
      <c r="BV17" s="60">
        <v>0</v>
      </c>
      <c r="BW17" s="60">
        <v>0</v>
      </c>
      <c r="BX17" s="60">
        <v>0</v>
      </c>
      <c r="BY17" s="60">
        <v>0</v>
      </c>
      <c r="BZ17" s="60">
        <v>0</v>
      </c>
      <c r="CA17" s="60">
        <v>0</v>
      </c>
      <c r="CB17" s="60">
        <v>0</v>
      </c>
      <c r="CC17" s="60">
        <v>0</v>
      </c>
      <c r="CD17" s="60">
        <v>0</v>
      </c>
      <c r="CE17" s="60">
        <v>0</v>
      </c>
      <c r="CF17" s="60">
        <v>0</v>
      </c>
      <c r="CG17" s="60">
        <v>0</v>
      </c>
      <c r="CH17" s="60">
        <v>0</v>
      </c>
      <c r="CI17" s="60">
        <v>0</v>
      </c>
      <c r="CJ17" s="60">
        <v>0</v>
      </c>
      <c r="CK17" s="60">
        <v>0</v>
      </c>
      <c r="CL17" s="60">
        <v>0</v>
      </c>
      <c r="CM17" s="60">
        <v>0</v>
      </c>
      <c r="CN17" s="60">
        <v>0</v>
      </c>
      <c r="CO17" s="60">
        <v>0</v>
      </c>
      <c r="CP17" s="60">
        <v>0</v>
      </c>
      <c r="CQ17" s="60">
        <v>0</v>
      </c>
      <c r="CR17" s="60">
        <v>0</v>
      </c>
      <c r="CS17" s="60">
        <v>0</v>
      </c>
      <c r="CT17" s="60">
        <v>0</v>
      </c>
      <c r="CU17" s="60">
        <v>0</v>
      </c>
      <c r="CV17" s="60">
        <v>0</v>
      </c>
      <c r="CW17" s="60">
        <v>0</v>
      </c>
      <c r="CX17" s="60">
        <v>0</v>
      </c>
      <c r="CY17" s="60">
        <v>0</v>
      </c>
      <c r="CZ17" s="60">
        <v>0</v>
      </c>
      <c r="DA17" s="60">
        <v>0</v>
      </c>
      <c r="DB17" s="60">
        <v>0</v>
      </c>
      <c r="DC17" s="60">
        <v>0</v>
      </c>
      <c r="DD17" s="60">
        <v>0</v>
      </c>
      <c r="DE17" s="60">
        <v>0</v>
      </c>
      <c r="DF17" s="60">
        <v>0</v>
      </c>
      <c r="DG17" s="60">
        <v>0</v>
      </c>
      <c r="DH17" s="60">
        <v>0</v>
      </c>
      <c r="DI17" s="60">
        <v>0</v>
      </c>
      <c r="DJ17" s="60">
        <v>0</v>
      </c>
      <c r="DK17" s="60">
        <v>0</v>
      </c>
    </row>
    <row r="18" spans="1:115">
      <c r="G18" s="38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</row>
    <row r="19" spans="1:115" ht="15.75" thickBot="1">
      <c r="G19" s="38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</row>
    <row r="20" spans="1:115" s="63" customFormat="1">
      <c r="E20" s="63">
        <f>SUM(E21:E25)</f>
        <v>20336247434.59935</v>
      </c>
      <c r="F20" s="63" t="s">
        <v>128</v>
      </c>
      <c r="G20" s="63">
        <f t="shared" ref="G20:R20" si="16">SUM(G22:G25)</f>
        <v>8279335193.1030197</v>
      </c>
      <c r="H20" s="63">
        <f t="shared" si="16"/>
        <v>1932300.6568753512</v>
      </c>
      <c r="I20" s="63">
        <f t="shared" si="16"/>
        <v>4209748.4129039282</v>
      </c>
      <c r="J20" s="63">
        <f t="shared" si="16"/>
        <v>12474242.194112133</v>
      </c>
      <c r="K20" s="63">
        <f t="shared" si="16"/>
        <v>1244453064.7530999</v>
      </c>
      <c r="L20" s="63">
        <f t="shared" si="16"/>
        <v>102465515.05624264</v>
      </c>
      <c r="M20" s="63">
        <f t="shared" si="16"/>
        <v>102465515.05624264</v>
      </c>
      <c r="N20" s="63">
        <f t="shared" si="16"/>
        <v>189284175.81667146</v>
      </c>
      <c r="O20" s="63">
        <f t="shared" si="16"/>
        <v>189284175.81667146</v>
      </c>
      <c r="P20" s="63">
        <f t="shared" si="16"/>
        <v>189284175.81667146</v>
      </c>
      <c r="Q20" s="63">
        <f t="shared" si="16"/>
        <v>218059947.7568219</v>
      </c>
      <c r="R20" s="63">
        <f t="shared" si="16"/>
        <v>218059947.7568219</v>
      </c>
      <c r="S20" s="63">
        <f>SUM(S22:S25)</f>
        <v>260912887.55682188</v>
      </c>
      <c r="T20" s="63">
        <f>SUM(T22:T25)</f>
        <v>5767079828.4662676</v>
      </c>
      <c r="U20" s="63">
        <f t="shared" ref="U20:BQ20" si="17">SUM(U22:U25)</f>
        <v>315581134.54572129</v>
      </c>
      <c r="V20" s="63">
        <f t="shared" si="17"/>
        <v>315581134.54572129</v>
      </c>
      <c r="W20" s="63">
        <f t="shared" si="17"/>
        <v>315581134.54572129</v>
      </c>
      <c r="X20" s="63">
        <f t="shared" si="17"/>
        <v>315581134.54572129</v>
      </c>
      <c r="Y20" s="63">
        <f t="shared" si="17"/>
        <v>315581134.54572129</v>
      </c>
      <c r="Z20" s="63">
        <f t="shared" si="17"/>
        <v>315581134.54572129</v>
      </c>
      <c r="AA20" s="63">
        <f t="shared" si="17"/>
        <v>315581134.54572129</v>
      </c>
      <c r="AB20" s="63">
        <f t="shared" si="17"/>
        <v>315581134.54572129</v>
      </c>
      <c r="AC20" s="63">
        <f t="shared" si="17"/>
        <v>315581134.54572129</v>
      </c>
      <c r="AD20" s="63">
        <f t="shared" si="17"/>
        <v>315581134.54572129</v>
      </c>
      <c r="AE20" s="63">
        <f t="shared" si="17"/>
        <v>315581134.54572129</v>
      </c>
      <c r="AF20" s="63">
        <f t="shared" si="17"/>
        <v>315581134.54572129</v>
      </c>
      <c r="AG20" s="63">
        <f t="shared" si="17"/>
        <v>315581134.54572129</v>
      </c>
      <c r="AH20" s="63">
        <f t="shared" si="17"/>
        <v>315581134.54572129</v>
      </c>
      <c r="AI20" s="63">
        <f t="shared" si="17"/>
        <v>315581134.54572129</v>
      </c>
      <c r="AJ20" s="63">
        <f t="shared" si="17"/>
        <v>315581134.54572129</v>
      </c>
      <c r="AK20" s="63">
        <f t="shared" si="17"/>
        <v>315581134.54572129</v>
      </c>
      <c r="AL20" s="63">
        <f t="shared" si="17"/>
        <v>315581134.54572129</v>
      </c>
      <c r="AM20" s="63">
        <f t="shared" si="17"/>
        <v>315581134.54572129</v>
      </c>
      <c r="AN20" s="63">
        <f t="shared" si="17"/>
        <v>315581134.54572129</v>
      </c>
      <c r="AO20" s="63">
        <f t="shared" si="17"/>
        <v>315581134.54572129</v>
      </c>
      <c r="AP20" s="63">
        <f t="shared" si="17"/>
        <v>315581134.54572129</v>
      </c>
      <c r="AQ20" s="63">
        <f t="shared" si="17"/>
        <v>315581134.54572129</v>
      </c>
      <c r="AR20" s="63">
        <f t="shared" si="17"/>
        <v>315581134.54572129</v>
      </c>
      <c r="AS20" s="63">
        <f t="shared" si="17"/>
        <v>315581134.54572129</v>
      </c>
      <c r="AT20" s="63">
        <f t="shared" si="17"/>
        <v>315581134.54572129</v>
      </c>
      <c r="AU20" s="63">
        <f t="shared" si="17"/>
        <v>315581134.54572129</v>
      </c>
      <c r="AV20" s="63">
        <f t="shared" si="17"/>
        <v>315581134.54572129</v>
      </c>
      <c r="AW20" s="63">
        <f t="shared" si="17"/>
        <v>272728194.74572128</v>
      </c>
      <c r="AX20" s="63">
        <f t="shared" si="17"/>
        <v>272728194.74572128</v>
      </c>
      <c r="AY20" s="63">
        <f t="shared" si="17"/>
        <v>272728194.74572128</v>
      </c>
      <c r="AZ20" s="63">
        <f t="shared" si="17"/>
        <v>272728194.74572128</v>
      </c>
      <c r="BA20" s="63">
        <f t="shared" si="17"/>
        <v>272728194.74572128</v>
      </c>
      <c r="BB20" s="63">
        <f t="shared" si="17"/>
        <v>272728194.74572128</v>
      </c>
      <c r="BC20" s="63">
        <f t="shared" si="17"/>
        <v>272728194.74572128</v>
      </c>
      <c r="BD20" s="63">
        <f t="shared" si="17"/>
        <v>272728194.74572128</v>
      </c>
      <c r="BE20" s="63">
        <f t="shared" si="17"/>
        <v>272728194.74572128</v>
      </c>
      <c r="BF20" s="63">
        <f t="shared" si="17"/>
        <v>272728194.74572128</v>
      </c>
      <c r="BG20" s="63">
        <f t="shared" si="17"/>
        <v>272728194.74572128</v>
      </c>
      <c r="BH20" s="63">
        <f t="shared" si="17"/>
        <v>0</v>
      </c>
      <c r="BI20" s="63">
        <f t="shared" si="17"/>
        <v>0</v>
      </c>
      <c r="BJ20" s="63">
        <f t="shared" si="17"/>
        <v>0</v>
      </c>
      <c r="BK20" s="63">
        <f t="shared" si="17"/>
        <v>0</v>
      </c>
      <c r="BL20" s="63">
        <f t="shared" si="17"/>
        <v>0</v>
      </c>
      <c r="BM20" s="63">
        <f t="shared" si="17"/>
        <v>0</v>
      </c>
      <c r="BN20" s="63">
        <f t="shared" si="17"/>
        <v>0</v>
      </c>
      <c r="BO20" s="63">
        <f t="shared" si="17"/>
        <v>0</v>
      </c>
      <c r="BP20" s="63">
        <f t="shared" si="17"/>
        <v>0</v>
      </c>
      <c r="BQ20" s="63">
        <f t="shared" si="17"/>
        <v>0</v>
      </c>
      <c r="BR20" s="63">
        <f t="shared" ref="BR20:DK20" si="18">SUM(BR22:BR25)</f>
        <v>0</v>
      </c>
      <c r="BS20" s="63">
        <f t="shared" si="18"/>
        <v>0</v>
      </c>
      <c r="BT20" s="63">
        <f t="shared" si="18"/>
        <v>0</v>
      </c>
      <c r="BU20" s="63">
        <f t="shared" si="18"/>
        <v>0</v>
      </c>
      <c r="BV20" s="63">
        <f t="shared" si="18"/>
        <v>0</v>
      </c>
      <c r="BW20" s="63">
        <f t="shared" si="18"/>
        <v>0</v>
      </c>
      <c r="BX20" s="63">
        <f t="shared" si="18"/>
        <v>0</v>
      </c>
      <c r="BY20" s="63">
        <f t="shared" si="18"/>
        <v>0</v>
      </c>
      <c r="BZ20" s="63">
        <f t="shared" si="18"/>
        <v>0</v>
      </c>
      <c r="CA20" s="63">
        <f t="shared" si="18"/>
        <v>0</v>
      </c>
      <c r="CB20" s="63">
        <f t="shared" si="18"/>
        <v>0</v>
      </c>
      <c r="CC20" s="63">
        <f t="shared" si="18"/>
        <v>0</v>
      </c>
      <c r="CD20" s="63">
        <f t="shared" si="18"/>
        <v>0</v>
      </c>
      <c r="CE20" s="63">
        <f t="shared" si="18"/>
        <v>0</v>
      </c>
      <c r="CF20" s="63">
        <f t="shared" si="18"/>
        <v>0</v>
      </c>
      <c r="CG20" s="63">
        <f t="shared" si="18"/>
        <v>0</v>
      </c>
      <c r="CH20" s="63">
        <f t="shared" si="18"/>
        <v>0</v>
      </c>
      <c r="CI20" s="63">
        <f t="shared" si="18"/>
        <v>0</v>
      </c>
      <c r="CJ20" s="63">
        <f t="shared" si="18"/>
        <v>0</v>
      </c>
      <c r="CK20" s="63">
        <f t="shared" si="18"/>
        <v>0</v>
      </c>
      <c r="CL20" s="63">
        <f t="shared" si="18"/>
        <v>0</v>
      </c>
      <c r="CM20" s="63">
        <f t="shared" si="18"/>
        <v>0</v>
      </c>
      <c r="CN20" s="63">
        <f t="shared" si="18"/>
        <v>0</v>
      </c>
      <c r="CO20" s="63">
        <f t="shared" si="18"/>
        <v>0</v>
      </c>
      <c r="CP20" s="63">
        <f t="shared" si="18"/>
        <v>0</v>
      </c>
      <c r="CQ20" s="63">
        <f t="shared" si="18"/>
        <v>0</v>
      </c>
      <c r="CR20" s="63">
        <f t="shared" si="18"/>
        <v>0</v>
      </c>
      <c r="CS20" s="63">
        <f t="shared" si="18"/>
        <v>0</v>
      </c>
      <c r="CT20" s="63">
        <f t="shared" si="18"/>
        <v>0</v>
      </c>
      <c r="CU20" s="63">
        <f t="shared" si="18"/>
        <v>0</v>
      </c>
      <c r="CV20" s="63">
        <f t="shared" si="18"/>
        <v>0</v>
      </c>
      <c r="CW20" s="63">
        <f t="shared" si="18"/>
        <v>0</v>
      </c>
      <c r="CX20" s="63">
        <f t="shared" si="18"/>
        <v>0</v>
      </c>
      <c r="CY20" s="63">
        <f t="shared" si="18"/>
        <v>0</v>
      </c>
      <c r="CZ20" s="63">
        <f t="shared" si="18"/>
        <v>0</v>
      </c>
      <c r="DA20" s="63">
        <f t="shared" si="18"/>
        <v>0</v>
      </c>
      <c r="DB20" s="63">
        <f t="shared" si="18"/>
        <v>0</v>
      </c>
      <c r="DC20" s="63">
        <f t="shared" si="18"/>
        <v>0</v>
      </c>
      <c r="DD20" s="63">
        <f t="shared" si="18"/>
        <v>0</v>
      </c>
      <c r="DE20" s="63">
        <f t="shared" si="18"/>
        <v>0</v>
      </c>
      <c r="DF20" s="63">
        <f t="shared" si="18"/>
        <v>0</v>
      </c>
      <c r="DG20" s="63">
        <f t="shared" si="18"/>
        <v>0</v>
      </c>
      <c r="DH20" s="63">
        <f t="shared" si="18"/>
        <v>0</v>
      </c>
      <c r="DI20" s="63">
        <f t="shared" si="18"/>
        <v>0</v>
      </c>
      <c r="DJ20" s="63">
        <f t="shared" si="18"/>
        <v>0</v>
      </c>
      <c r="DK20" s="63">
        <f t="shared" si="18"/>
        <v>0</v>
      </c>
    </row>
    <row r="21" spans="1:115" s="57" customFormat="1"/>
    <row r="22" spans="1:115" s="57" customFormat="1">
      <c r="E22" s="57">
        <f>SUM(H22:DK22)</f>
        <v>1285588193.9999993</v>
      </c>
      <c r="F22" s="57" t="s">
        <v>127</v>
      </c>
      <c r="G22" s="57">
        <f>SUM(H22:BQ22)</f>
        <v>1285588193.9999993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f>'USDA Low Interest Loan'!$A$9</f>
        <v>42852939.799999997</v>
      </c>
      <c r="T22" s="57">
        <f>'USDA Low Interest Loan'!$A$9</f>
        <v>42852939.799999997</v>
      </c>
      <c r="U22" s="57">
        <f>'USDA Low Interest Loan'!$A$9</f>
        <v>42852939.799999997</v>
      </c>
      <c r="V22" s="57">
        <f>'USDA Low Interest Loan'!$A$9</f>
        <v>42852939.799999997</v>
      </c>
      <c r="W22" s="57">
        <f>'USDA Low Interest Loan'!$A$9</f>
        <v>42852939.799999997</v>
      </c>
      <c r="X22" s="57">
        <f>'USDA Low Interest Loan'!$A$9</f>
        <v>42852939.799999997</v>
      </c>
      <c r="Y22" s="57">
        <f>'USDA Low Interest Loan'!$A$9</f>
        <v>42852939.799999997</v>
      </c>
      <c r="Z22" s="57">
        <f>'USDA Low Interest Loan'!$A$9</f>
        <v>42852939.799999997</v>
      </c>
      <c r="AA22" s="57">
        <f>'USDA Low Interest Loan'!$A$9</f>
        <v>42852939.799999997</v>
      </c>
      <c r="AB22" s="57">
        <f>'USDA Low Interest Loan'!$A$9</f>
        <v>42852939.799999997</v>
      </c>
      <c r="AC22" s="57">
        <f>'USDA Low Interest Loan'!$A$9</f>
        <v>42852939.799999997</v>
      </c>
      <c r="AD22" s="57">
        <f>'USDA Low Interest Loan'!$A$9</f>
        <v>42852939.799999997</v>
      </c>
      <c r="AE22" s="57">
        <f>'USDA Low Interest Loan'!$A$9</f>
        <v>42852939.799999997</v>
      </c>
      <c r="AF22" s="57">
        <f>'USDA Low Interest Loan'!$A$9</f>
        <v>42852939.799999997</v>
      </c>
      <c r="AG22" s="57">
        <f>'USDA Low Interest Loan'!$A$9</f>
        <v>42852939.799999997</v>
      </c>
      <c r="AH22" s="57">
        <f>'USDA Low Interest Loan'!$A$9</f>
        <v>42852939.799999997</v>
      </c>
      <c r="AI22" s="57">
        <f>'USDA Low Interest Loan'!$A$9</f>
        <v>42852939.799999997</v>
      </c>
      <c r="AJ22" s="57">
        <f>'USDA Low Interest Loan'!$A$9</f>
        <v>42852939.799999997</v>
      </c>
      <c r="AK22" s="57">
        <f>'USDA Low Interest Loan'!$A$9</f>
        <v>42852939.799999997</v>
      </c>
      <c r="AL22" s="57">
        <f>'USDA Low Interest Loan'!$A$9</f>
        <v>42852939.799999997</v>
      </c>
      <c r="AM22" s="57">
        <f>'USDA Low Interest Loan'!$A$9</f>
        <v>42852939.799999997</v>
      </c>
      <c r="AN22" s="57">
        <f>'USDA Low Interest Loan'!$A$9</f>
        <v>42852939.799999997</v>
      </c>
      <c r="AO22" s="57">
        <f>'USDA Low Interest Loan'!$A$9</f>
        <v>42852939.799999997</v>
      </c>
      <c r="AP22" s="57">
        <f>'USDA Low Interest Loan'!$A$9</f>
        <v>42852939.799999997</v>
      </c>
      <c r="AQ22" s="57">
        <f>'USDA Low Interest Loan'!$A$9</f>
        <v>42852939.799999997</v>
      </c>
      <c r="AR22" s="57">
        <f>'USDA Low Interest Loan'!$A$9</f>
        <v>42852939.799999997</v>
      </c>
      <c r="AS22" s="57">
        <f>'USDA Low Interest Loan'!$A$9</f>
        <v>42852939.799999997</v>
      </c>
      <c r="AT22" s="57">
        <f>'USDA Low Interest Loan'!$A$9</f>
        <v>42852939.799999997</v>
      </c>
      <c r="AU22" s="57">
        <f>'USDA Low Interest Loan'!$A$9</f>
        <v>42852939.799999997</v>
      </c>
      <c r="AV22" s="57">
        <f>'USDA Low Interest Loan'!$A$9</f>
        <v>42852939.799999997</v>
      </c>
      <c r="AW22" s="57">
        <f>'USDA Low Interest Loan'!$A$3</f>
        <v>0</v>
      </c>
      <c r="AX22" s="57">
        <f>'USDA Low Interest Loan'!$A$3</f>
        <v>0</v>
      </c>
      <c r="AY22" s="57">
        <f>'USDA Low Interest Loan'!$A$3</f>
        <v>0</v>
      </c>
      <c r="AZ22" s="57">
        <v>0</v>
      </c>
      <c r="BA22" s="57">
        <v>0</v>
      </c>
      <c r="BB22" s="57">
        <v>0</v>
      </c>
      <c r="BC22" s="57">
        <v>0</v>
      </c>
      <c r="BD22" s="57">
        <v>0</v>
      </c>
      <c r="BE22" s="57">
        <v>0</v>
      </c>
      <c r="BF22" s="57">
        <v>0</v>
      </c>
      <c r="BG22" s="57">
        <v>0</v>
      </c>
      <c r="BH22" s="57">
        <v>0</v>
      </c>
      <c r="BI22" s="57">
        <v>0</v>
      </c>
      <c r="BJ22" s="57">
        <v>0</v>
      </c>
      <c r="BK22" s="57">
        <v>0</v>
      </c>
      <c r="BL22" s="57">
        <v>0</v>
      </c>
      <c r="BM22" s="57">
        <v>0</v>
      </c>
      <c r="BN22" s="57">
        <v>0</v>
      </c>
      <c r="BO22" s="57">
        <v>0</v>
      </c>
      <c r="BP22" s="57">
        <v>0</v>
      </c>
      <c r="BQ22" s="57">
        <v>0</v>
      </c>
      <c r="BR22" s="57">
        <v>0</v>
      </c>
      <c r="BS22" s="57">
        <v>0</v>
      </c>
      <c r="BT22" s="57">
        <v>0</v>
      </c>
      <c r="BU22" s="57">
        <v>0</v>
      </c>
      <c r="BV22" s="57">
        <v>0</v>
      </c>
      <c r="BW22" s="57">
        <v>0</v>
      </c>
      <c r="BX22" s="57">
        <v>0</v>
      </c>
      <c r="BY22" s="57">
        <v>0</v>
      </c>
      <c r="BZ22" s="57">
        <v>0</v>
      </c>
      <c r="CA22" s="57">
        <v>0</v>
      </c>
      <c r="CB22" s="57">
        <v>0</v>
      </c>
      <c r="CC22" s="57">
        <v>0</v>
      </c>
      <c r="CD22" s="57">
        <v>0</v>
      </c>
      <c r="CE22" s="57">
        <v>0</v>
      </c>
      <c r="CF22" s="57">
        <v>0</v>
      </c>
      <c r="CG22" s="57">
        <v>0</v>
      </c>
      <c r="CH22" s="57">
        <v>0</v>
      </c>
      <c r="CI22" s="57">
        <v>0</v>
      </c>
      <c r="CJ22" s="57">
        <v>0</v>
      </c>
      <c r="CK22" s="57">
        <v>0</v>
      </c>
      <c r="CL22" s="57">
        <v>0</v>
      </c>
      <c r="CM22" s="57">
        <v>0</v>
      </c>
      <c r="CN22" s="57">
        <v>0</v>
      </c>
      <c r="CO22" s="57">
        <v>0</v>
      </c>
      <c r="CP22" s="57">
        <v>0</v>
      </c>
      <c r="CQ22" s="57">
        <v>0</v>
      </c>
      <c r="CR22" s="57">
        <v>0</v>
      </c>
      <c r="CS22" s="57">
        <v>0</v>
      </c>
      <c r="CT22" s="57">
        <v>0</v>
      </c>
      <c r="CU22" s="57">
        <v>0</v>
      </c>
      <c r="CV22" s="57">
        <v>0</v>
      </c>
      <c r="CW22" s="57">
        <v>0</v>
      </c>
      <c r="CX22" s="57">
        <v>0</v>
      </c>
      <c r="CY22" s="57">
        <v>0</v>
      </c>
      <c r="CZ22" s="57">
        <v>0</v>
      </c>
      <c r="DA22" s="57">
        <v>0</v>
      </c>
      <c r="DB22" s="57">
        <v>0</v>
      </c>
      <c r="DC22" s="57">
        <v>0</v>
      </c>
      <c r="DD22" s="57">
        <v>0</v>
      </c>
      <c r="DE22" s="57">
        <v>0</v>
      </c>
      <c r="DF22" s="57">
        <v>0</v>
      </c>
      <c r="DG22" s="57">
        <v>0</v>
      </c>
      <c r="DH22" s="57">
        <v>0</v>
      </c>
      <c r="DI22" s="57">
        <v>0</v>
      </c>
      <c r="DJ22" s="57">
        <v>0</v>
      </c>
      <c r="DK22" s="57">
        <v>0</v>
      </c>
    </row>
    <row r="23" spans="1:115" s="57" customFormat="1">
      <c r="E23" s="57">
        <f>SUM(H23:DK23)</f>
        <v>1160603840.9607487</v>
      </c>
      <c r="F23" s="57" t="s">
        <v>124</v>
      </c>
      <c r="G23" s="57">
        <f>LineOfCredit!D9</f>
        <v>12819389.293265359</v>
      </c>
      <c r="H23" s="57">
        <f>LineOfCredit!C4</f>
        <v>1932300.6568753512</v>
      </c>
      <c r="I23" s="57">
        <f>LineOfCredit!C4+LineOfCredit!C5</f>
        <v>4209748.4129039282</v>
      </c>
      <c r="J23" s="57">
        <f>LineOfCredit!C4+LineOfCredit!C5+LineOfCredit!C6</f>
        <v>12474242.194112133</v>
      </c>
      <c r="K23" s="57">
        <f>LineOfCredit!B9</f>
        <v>1141987549.6968572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X23" s="57"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v>0</v>
      </c>
      <c r="AO23" s="57">
        <v>0</v>
      </c>
      <c r="AP23" s="57">
        <v>0</v>
      </c>
      <c r="AQ23" s="57">
        <v>0</v>
      </c>
      <c r="AR23" s="57">
        <v>0</v>
      </c>
      <c r="AS23" s="57">
        <v>0</v>
      </c>
      <c r="AT23" s="57">
        <v>0</v>
      </c>
      <c r="AU23" s="57">
        <v>0</v>
      </c>
      <c r="AV23" s="57">
        <v>0</v>
      </c>
      <c r="AW23" s="57">
        <v>0</v>
      </c>
      <c r="AX23" s="57">
        <v>0</v>
      </c>
      <c r="AY23" s="57">
        <v>0</v>
      </c>
      <c r="AZ23" s="57">
        <v>0</v>
      </c>
      <c r="BA23" s="57">
        <v>0</v>
      </c>
      <c r="BB23" s="57">
        <v>0</v>
      </c>
      <c r="BC23" s="57">
        <v>0</v>
      </c>
      <c r="BD23" s="57">
        <v>0</v>
      </c>
      <c r="BE23" s="57">
        <v>0</v>
      </c>
      <c r="BF23" s="57">
        <v>0</v>
      </c>
      <c r="BG23" s="57">
        <v>0</v>
      </c>
      <c r="BH23" s="57">
        <v>0</v>
      </c>
      <c r="BI23" s="57">
        <v>0</v>
      </c>
      <c r="BJ23" s="57">
        <v>0</v>
      </c>
      <c r="BK23" s="57">
        <v>0</v>
      </c>
      <c r="BL23" s="57">
        <v>0</v>
      </c>
      <c r="BM23" s="57">
        <v>0</v>
      </c>
      <c r="BN23" s="57">
        <v>0</v>
      </c>
      <c r="BO23" s="57">
        <v>0</v>
      </c>
      <c r="BP23" s="57">
        <v>0</v>
      </c>
      <c r="BQ23" s="57">
        <v>0</v>
      </c>
      <c r="BR23" s="57">
        <v>0</v>
      </c>
      <c r="BS23" s="57">
        <v>0</v>
      </c>
      <c r="BT23" s="57">
        <v>0</v>
      </c>
      <c r="BU23" s="57">
        <v>0</v>
      </c>
      <c r="BV23" s="57">
        <v>0</v>
      </c>
      <c r="BW23" s="57">
        <v>0</v>
      </c>
      <c r="BX23" s="57">
        <v>0</v>
      </c>
      <c r="BY23" s="57">
        <v>0</v>
      </c>
      <c r="BZ23" s="57">
        <v>0</v>
      </c>
      <c r="CA23" s="57">
        <v>0</v>
      </c>
      <c r="CB23" s="57">
        <v>0</v>
      </c>
      <c r="CC23" s="57">
        <v>0</v>
      </c>
      <c r="CD23" s="57">
        <v>0</v>
      </c>
      <c r="CE23" s="57">
        <v>0</v>
      </c>
      <c r="CF23" s="57">
        <v>0</v>
      </c>
      <c r="CG23" s="57">
        <v>0</v>
      </c>
      <c r="CH23" s="57">
        <v>0</v>
      </c>
      <c r="CI23" s="57">
        <v>0</v>
      </c>
      <c r="CJ23" s="57">
        <v>0</v>
      </c>
      <c r="CK23" s="57">
        <v>0</v>
      </c>
      <c r="CL23" s="57">
        <v>0</v>
      </c>
      <c r="CM23" s="57">
        <v>0</v>
      </c>
      <c r="CN23" s="57">
        <v>0</v>
      </c>
      <c r="CO23" s="57">
        <v>0</v>
      </c>
      <c r="CP23" s="57">
        <v>0</v>
      </c>
      <c r="CQ23" s="57">
        <v>0</v>
      </c>
      <c r="CR23" s="57">
        <v>0</v>
      </c>
      <c r="CS23" s="57">
        <v>0</v>
      </c>
      <c r="CT23" s="57">
        <v>0</v>
      </c>
      <c r="CU23" s="57">
        <v>0</v>
      </c>
      <c r="CV23" s="57">
        <v>0</v>
      </c>
      <c r="CW23" s="57">
        <v>0</v>
      </c>
      <c r="CX23" s="57">
        <v>0</v>
      </c>
      <c r="CY23" s="57">
        <v>0</v>
      </c>
      <c r="CZ23" s="57">
        <v>0</v>
      </c>
      <c r="DA23" s="57">
        <v>0</v>
      </c>
      <c r="DB23" s="57">
        <v>0</v>
      </c>
      <c r="DC23" s="57">
        <v>0</v>
      </c>
      <c r="DD23" s="57">
        <v>0</v>
      </c>
      <c r="DE23" s="57">
        <v>0</v>
      </c>
      <c r="DF23" s="57">
        <v>0</v>
      </c>
      <c r="DG23" s="57">
        <v>0</v>
      </c>
      <c r="DH23" s="57">
        <v>0</v>
      </c>
      <c r="DI23" s="57">
        <v>0</v>
      </c>
      <c r="DJ23" s="57">
        <v>0</v>
      </c>
      <c r="DK23" s="57">
        <v>0</v>
      </c>
    </row>
    <row r="24" spans="1:115" s="57" customFormat="1">
      <c r="E24" s="57">
        <f>SUM(H24:DK24)</f>
        <v>6980927609.8097544</v>
      </c>
      <c r="F24" s="57" t="s">
        <v>87</v>
      </c>
      <c r="G24" s="57">
        <f>'Construction Bonds'!C14</f>
        <v>1529428915.8892081</v>
      </c>
      <c r="H24" s="57">
        <v>0</v>
      </c>
      <c r="I24" s="57">
        <v>0</v>
      </c>
      <c r="J24" s="57">
        <v>0</v>
      </c>
      <c r="K24" s="57">
        <f>'Construction Bonds'!C3</f>
        <v>102465515.05624264</v>
      </c>
      <c r="L24" s="57">
        <f>'Construction Bonds'!$C$3+'Construction Bonds'!$C$4</f>
        <v>102465515.05624264</v>
      </c>
      <c r="M24" s="57">
        <f>'Construction Bonds'!$C$3+'Construction Bonds'!$C$4</f>
        <v>102465515.05624264</v>
      </c>
      <c r="N24" s="57">
        <f>'Construction Bonds'!$C$3+'Construction Bonds'!$C$4+'Construction Bonds'!$C$6</f>
        <v>189284175.81667146</v>
      </c>
      <c r="O24" s="57">
        <f>'Construction Bonds'!$C$3+'Construction Bonds'!$C$4+'Construction Bonds'!$C$6</f>
        <v>189284175.81667146</v>
      </c>
      <c r="P24" s="57">
        <f>'Construction Bonds'!$C$3+'Construction Bonds'!$C$4+'Construction Bonds'!$C$6</f>
        <v>189284175.81667146</v>
      </c>
      <c r="Q24" s="57">
        <f>'Construction Bonds'!$C$3+'Construction Bonds'!$C$4+'Construction Bonds'!$C$6+'Construction Bonds'!$C$9</f>
        <v>218059947.7568219</v>
      </c>
      <c r="R24" s="57">
        <f>'Construction Bonds'!$C$3+'Construction Bonds'!$C$4+'Construction Bonds'!$C$6+'Construction Bonds'!$C$9</f>
        <v>218059947.7568219</v>
      </c>
      <c r="S24" s="57">
        <f>'Construction Bonds'!$C$3+'Construction Bonds'!$C$4+'Construction Bonds'!$C$6+'Construction Bonds'!$C$9</f>
        <v>218059947.7568219</v>
      </c>
      <c r="T24" s="57">
        <f>'Construction Bonds'!B22</f>
        <v>5451498693.9205465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  <c r="AR24" s="57">
        <v>0</v>
      </c>
      <c r="AS24" s="57">
        <v>0</v>
      </c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57">
        <v>0</v>
      </c>
      <c r="BV24" s="57">
        <v>0</v>
      </c>
      <c r="BW24" s="57">
        <v>0</v>
      </c>
      <c r="BX24" s="57">
        <v>0</v>
      </c>
      <c r="BY24" s="57">
        <v>0</v>
      </c>
      <c r="BZ24" s="57">
        <v>0</v>
      </c>
      <c r="CA24" s="57">
        <v>0</v>
      </c>
      <c r="CB24" s="57">
        <v>0</v>
      </c>
      <c r="CC24" s="57">
        <v>0</v>
      </c>
      <c r="CD24" s="57">
        <v>0</v>
      </c>
      <c r="CE24" s="57">
        <v>0</v>
      </c>
      <c r="CF24" s="57">
        <v>0</v>
      </c>
      <c r="CG24" s="57">
        <v>0</v>
      </c>
      <c r="CH24" s="57">
        <v>0</v>
      </c>
      <c r="CI24" s="57">
        <v>0</v>
      </c>
      <c r="CJ24" s="57">
        <v>0</v>
      </c>
      <c r="CK24" s="57">
        <v>0</v>
      </c>
      <c r="CL24" s="57">
        <v>0</v>
      </c>
      <c r="CM24" s="57">
        <v>0</v>
      </c>
      <c r="CN24" s="57">
        <v>0</v>
      </c>
      <c r="CO24" s="57">
        <v>0</v>
      </c>
      <c r="CP24" s="57">
        <v>0</v>
      </c>
      <c r="CQ24" s="57">
        <v>0</v>
      </c>
      <c r="CR24" s="57">
        <v>0</v>
      </c>
      <c r="CS24" s="57">
        <v>0</v>
      </c>
      <c r="CT24" s="57">
        <v>0</v>
      </c>
      <c r="CU24" s="57">
        <v>0</v>
      </c>
      <c r="CV24" s="57">
        <v>0</v>
      </c>
      <c r="CW24" s="57">
        <v>0</v>
      </c>
      <c r="CX24" s="57">
        <v>0</v>
      </c>
      <c r="CY24" s="57">
        <v>0</v>
      </c>
      <c r="CZ24" s="57">
        <v>0</v>
      </c>
      <c r="DA24" s="57">
        <v>0</v>
      </c>
      <c r="DB24" s="57">
        <v>0</v>
      </c>
      <c r="DC24" s="57">
        <v>0</v>
      </c>
      <c r="DD24" s="57">
        <v>0</v>
      </c>
      <c r="DE24" s="57">
        <v>0</v>
      </c>
      <c r="DF24" s="57">
        <v>0</v>
      </c>
      <c r="DG24" s="57">
        <v>0</v>
      </c>
      <c r="DH24" s="57">
        <v>0</v>
      </c>
      <c r="DI24" s="57">
        <v>0</v>
      </c>
      <c r="DJ24" s="57">
        <v>0</v>
      </c>
      <c r="DK24" s="57">
        <v>0</v>
      </c>
    </row>
    <row r="25" spans="1:115" s="64" customFormat="1" ht="15.75" thickBot="1">
      <c r="E25" s="64">
        <f>SUM(H25:DK25)</f>
        <v>10909127789.82885</v>
      </c>
      <c r="F25" s="64" t="s">
        <v>125</v>
      </c>
      <c r="G25" s="64">
        <f>'Construction Bonds'!B22</f>
        <v>5451498693.9205465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f>'Construction Bonds'!$C$22</f>
        <v>272728194.74572128</v>
      </c>
      <c r="U25" s="64">
        <f>'Construction Bonds'!$C$22</f>
        <v>272728194.74572128</v>
      </c>
      <c r="V25" s="64">
        <f>'Construction Bonds'!$C$22</f>
        <v>272728194.74572128</v>
      </c>
      <c r="W25" s="64">
        <f>'Construction Bonds'!$C$22</f>
        <v>272728194.74572128</v>
      </c>
      <c r="X25" s="64">
        <f>'Construction Bonds'!$C$22</f>
        <v>272728194.74572128</v>
      </c>
      <c r="Y25" s="64">
        <f>'Construction Bonds'!$C$22</f>
        <v>272728194.74572128</v>
      </c>
      <c r="Z25" s="64">
        <f>'Construction Bonds'!$C$22</f>
        <v>272728194.74572128</v>
      </c>
      <c r="AA25" s="64">
        <f>'Construction Bonds'!$C$22</f>
        <v>272728194.74572128</v>
      </c>
      <c r="AB25" s="64">
        <f>'Construction Bonds'!$C$22</f>
        <v>272728194.74572128</v>
      </c>
      <c r="AC25" s="64">
        <f>'Construction Bonds'!$C$22</f>
        <v>272728194.74572128</v>
      </c>
      <c r="AD25" s="64">
        <f>'Construction Bonds'!$C$22</f>
        <v>272728194.74572128</v>
      </c>
      <c r="AE25" s="64">
        <f>'Construction Bonds'!$C$22</f>
        <v>272728194.74572128</v>
      </c>
      <c r="AF25" s="64">
        <f>'Construction Bonds'!$C$22</f>
        <v>272728194.74572128</v>
      </c>
      <c r="AG25" s="64">
        <f>'Construction Bonds'!$C$22</f>
        <v>272728194.74572128</v>
      </c>
      <c r="AH25" s="64">
        <f>'Construction Bonds'!$C$22</f>
        <v>272728194.74572128</v>
      </c>
      <c r="AI25" s="64">
        <f>'Construction Bonds'!$C$22</f>
        <v>272728194.74572128</v>
      </c>
      <c r="AJ25" s="64">
        <f>'Construction Bonds'!$C$22</f>
        <v>272728194.74572128</v>
      </c>
      <c r="AK25" s="64">
        <f>'Construction Bonds'!$C$22</f>
        <v>272728194.74572128</v>
      </c>
      <c r="AL25" s="64">
        <f>'Construction Bonds'!$C$22</f>
        <v>272728194.74572128</v>
      </c>
      <c r="AM25" s="64">
        <f>'Construction Bonds'!$C$22</f>
        <v>272728194.74572128</v>
      </c>
      <c r="AN25" s="64">
        <f>'Construction Bonds'!$C$22</f>
        <v>272728194.74572128</v>
      </c>
      <c r="AO25" s="64">
        <f>'Construction Bonds'!$C$22</f>
        <v>272728194.74572128</v>
      </c>
      <c r="AP25" s="64">
        <f>'Construction Bonds'!$C$22</f>
        <v>272728194.74572128</v>
      </c>
      <c r="AQ25" s="64">
        <f>'Construction Bonds'!$C$22</f>
        <v>272728194.74572128</v>
      </c>
      <c r="AR25" s="64">
        <f>'Construction Bonds'!$C$22</f>
        <v>272728194.74572128</v>
      </c>
      <c r="AS25" s="64">
        <f>'Construction Bonds'!$C$22</f>
        <v>272728194.74572128</v>
      </c>
      <c r="AT25" s="64">
        <f>'Construction Bonds'!$C$22</f>
        <v>272728194.74572128</v>
      </c>
      <c r="AU25" s="64">
        <f>'Construction Bonds'!$C$22</f>
        <v>272728194.74572128</v>
      </c>
      <c r="AV25" s="64">
        <f>'Construction Bonds'!$C$22</f>
        <v>272728194.74572128</v>
      </c>
      <c r="AW25" s="64">
        <f>'Construction Bonds'!$C$22</f>
        <v>272728194.74572128</v>
      </c>
      <c r="AX25" s="64">
        <f>'Construction Bonds'!$C$22</f>
        <v>272728194.74572128</v>
      </c>
      <c r="AY25" s="64">
        <f>'Construction Bonds'!$C$22</f>
        <v>272728194.74572128</v>
      </c>
      <c r="AZ25" s="64">
        <f>'Construction Bonds'!$C$22</f>
        <v>272728194.74572128</v>
      </c>
      <c r="BA25" s="64">
        <f>'Construction Bonds'!$C$22</f>
        <v>272728194.74572128</v>
      </c>
      <c r="BB25" s="64">
        <f>'Construction Bonds'!$C$22</f>
        <v>272728194.74572128</v>
      </c>
      <c r="BC25" s="64">
        <f>'Construction Bonds'!$C$22</f>
        <v>272728194.74572128</v>
      </c>
      <c r="BD25" s="64">
        <f>'Construction Bonds'!$C$22</f>
        <v>272728194.74572128</v>
      </c>
      <c r="BE25" s="64">
        <f>'Construction Bonds'!$C$22</f>
        <v>272728194.74572128</v>
      </c>
      <c r="BF25" s="64">
        <f>'Construction Bonds'!$C$22</f>
        <v>272728194.74572128</v>
      </c>
      <c r="BG25" s="64">
        <f>'Construction Bonds'!$C$22</f>
        <v>272728194.74572128</v>
      </c>
      <c r="BH25" s="64">
        <v>0</v>
      </c>
      <c r="BI25" s="64">
        <v>0</v>
      </c>
      <c r="BJ25" s="64">
        <v>0</v>
      </c>
      <c r="BK25" s="64">
        <v>0</v>
      </c>
      <c r="BL25" s="64">
        <v>0</v>
      </c>
      <c r="BM25" s="64">
        <v>0</v>
      </c>
      <c r="BN25" s="64">
        <v>0</v>
      </c>
      <c r="BO25" s="64">
        <v>0</v>
      </c>
      <c r="BP25" s="64">
        <v>0</v>
      </c>
      <c r="BQ25" s="64">
        <v>0</v>
      </c>
      <c r="BR25" s="64">
        <v>0</v>
      </c>
      <c r="BS25" s="64">
        <v>0</v>
      </c>
      <c r="BT25" s="64">
        <v>0</v>
      </c>
      <c r="BU25" s="64">
        <v>0</v>
      </c>
      <c r="BV25" s="64">
        <v>0</v>
      </c>
      <c r="BW25" s="64">
        <v>0</v>
      </c>
      <c r="BX25" s="64">
        <v>0</v>
      </c>
      <c r="BY25" s="64">
        <v>0</v>
      </c>
      <c r="BZ25" s="64">
        <v>0</v>
      </c>
      <c r="CA25" s="64">
        <v>0</v>
      </c>
      <c r="CB25" s="64">
        <v>0</v>
      </c>
      <c r="CC25" s="64">
        <v>0</v>
      </c>
      <c r="CD25" s="64">
        <v>0</v>
      </c>
      <c r="CE25" s="64">
        <v>0</v>
      </c>
      <c r="CF25" s="64">
        <v>0</v>
      </c>
      <c r="CG25" s="64">
        <v>0</v>
      </c>
      <c r="CH25" s="64">
        <v>0</v>
      </c>
      <c r="CI25" s="64">
        <v>0</v>
      </c>
      <c r="CJ25" s="64">
        <v>0</v>
      </c>
      <c r="CK25" s="64">
        <v>0</v>
      </c>
      <c r="CL25" s="64">
        <v>0</v>
      </c>
      <c r="CM25" s="64">
        <v>0</v>
      </c>
      <c r="CN25" s="64">
        <v>0</v>
      </c>
      <c r="CO25" s="64">
        <v>0</v>
      </c>
      <c r="CP25" s="64">
        <v>0</v>
      </c>
      <c r="CQ25" s="64">
        <v>0</v>
      </c>
      <c r="CR25" s="64">
        <v>0</v>
      </c>
      <c r="CS25" s="64">
        <v>0</v>
      </c>
      <c r="CT25" s="64">
        <v>0</v>
      </c>
      <c r="CU25" s="64">
        <v>0</v>
      </c>
      <c r="CV25" s="64">
        <v>0</v>
      </c>
      <c r="CW25" s="64">
        <v>0</v>
      </c>
      <c r="CX25" s="64">
        <v>0</v>
      </c>
      <c r="CY25" s="64">
        <v>0</v>
      </c>
      <c r="CZ25" s="64">
        <v>0</v>
      </c>
      <c r="DA25" s="64">
        <v>0</v>
      </c>
      <c r="DB25" s="64">
        <v>0</v>
      </c>
      <c r="DC25" s="64">
        <v>0</v>
      </c>
      <c r="DD25" s="64">
        <v>0</v>
      </c>
      <c r="DE25" s="64">
        <v>0</v>
      </c>
      <c r="DF25" s="64">
        <v>0</v>
      </c>
      <c r="DG25" s="64">
        <v>0</v>
      </c>
      <c r="DH25" s="64">
        <v>0</v>
      </c>
      <c r="DI25" s="64">
        <v>0</v>
      </c>
      <c r="DJ25" s="64">
        <v>0</v>
      </c>
      <c r="DK25" s="64">
        <v>0</v>
      </c>
    </row>
    <row r="26" spans="1:115"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</row>
    <row r="27" spans="1:115" ht="15.75" thickBot="1"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</row>
    <row r="28" spans="1:115" s="42" customFormat="1">
      <c r="A28" s="42">
        <f>SUM(A30:A37)</f>
        <v>204842815.58593637</v>
      </c>
      <c r="B28" s="42">
        <f t="shared" ref="B28:D28" si="19">SUM(B30:B37)</f>
        <v>358668663.44244033</v>
      </c>
      <c r="C28" s="42">
        <f t="shared" si="19"/>
        <v>8133562162.0529327</v>
      </c>
      <c r="D28" s="42">
        <f t="shared" si="19"/>
        <v>18593274625.506241</v>
      </c>
      <c r="E28" s="42">
        <f>SUM(E30:E37)</f>
        <v>27290348266.587555</v>
      </c>
      <c r="F28" s="42" t="s">
        <v>73</v>
      </c>
      <c r="G28" s="42">
        <f>SUM(G30:G35,G37)</f>
        <v>27933366128.519924</v>
      </c>
      <c r="H28" s="42">
        <f>SUM(H30:H35,H37)</f>
        <v>94379741.9318894</v>
      </c>
      <c r="I28" s="42">
        <f t="shared" ref="I28:BQ28" si="20">SUM(I30:I35,I37)</f>
        <v>110463073.654047</v>
      </c>
      <c r="J28" s="42">
        <f t="shared" si="20"/>
        <v>358668663.44244033</v>
      </c>
      <c r="K28" s="42">
        <f t="shared" si="20"/>
        <v>2772940203.9623084</v>
      </c>
      <c r="L28" s="42">
        <f>SUM(L30:L37)</f>
        <v>802837085.81307054</v>
      </c>
      <c r="M28" s="42">
        <f t="shared" ref="M28:V28" si="21">SUM(M30:M37)</f>
        <v>429726755.45592755</v>
      </c>
      <c r="N28" s="42">
        <f t="shared" si="21"/>
        <v>2184444462.0127912</v>
      </c>
      <c r="O28" s="42">
        <f t="shared" si="21"/>
        <v>1786119845.9413624</v>
      </c>
      <c r="P28" s="42">
        <f t="shared" si="21"/>
        <v>1262795229.8699336</v>
      </c>
      <c r="Q28" s="42">
        <f t="shared" si="21"/>
        <v>1478212112.8138447</v>
      </c>
      <c r="R28" s="42">
        <f t="shared" si="21"/>
        <v>1046630353.8852732</v>
      </c>
      <c r="S28" s="42">
        <f t="shared" si="21"/>
        <v>838337329.0313704</v>
      </c>
      <c r="T28" s="42">
        <f t="shared" si="21"/>
        <v>6344504269.9408169</v>
      </c>
      <c r="U28" s="42">
        <f t="shared" si="21"/>
        <v>893005576.02027011</v>
      </c>
      <c r="V28" s="42">
        <f t="shared" si="21"/>
        <v>893005576.02027011</v>
      </c>
      <c r="W28" s="42">
        <f t="shared" si="20"/>
        <v>323096598.46324706</v>
      </c>
      <c r="X28" s="42">
        <f t="shared" si="20"/>
        <v>323096598.46324706</v>
      </c>
      <c r="Y28" s="42">
        <f t="shared" si="20"/>
        <v>323096598.46324706</v>
      </c>
      <c r="Z28" s="42">
        <f t="shared" si="20"/>
        <v>323096598.46324706</v>
      </c>
      <c r="AA28" s="42">
        <f t="shared" si="20"/>
        <v>323096598.46324706</v>
      </c>
      <c r="AB28" s="42">
        <f t="shared" si="20"/>
        <v>323096598.46324706</v>
      </c>
      <c r="AC28" s="42">
        <f t="shared" si="20"/>
        <v>323096598.46324706</v>
      </c>
      <c r="AD28" s="42">
        <f t="shared" si="20"/>
        <v>323096598.46324706</v>
      </c>
      <c r="AE28" s="42">
        <f t="shared" si="20"/>
        <v>323096598.46324706</v>
      </c>
      <c r="AF28" s="42">
        <f t="shared" si="20"/>
        <v>323096598.46324706</v>
      </c>
      <c r="AG28" s="42">
        <f t="shared" si="20"/>
        <v>323096598.46324706</v>
      </c>
      <c r="AH28" s="42">
        <f t="shared" si="20"/>
        <v>323096598.46324706</v>
      </c>
      <c r="AI28" s="42">
        <f t="shared" si="20"/>
        <v>323096598.46324706</v>
      </c>
      <c r="AJ28" s="42">
        <f t="shared" si="20"/>
        <v>323096598.46324706</v>
      </c>
      <c r="AK28" s="42">
        <f t="shared" si="20"/>
        <v>323096598.46324706</v>
      </c>
      <c r="AL28" s="42">
        <f t="shared" si="20"/>
        <v>323096598.46324706</v>
      </c>
      <c r="AM28" s="42">
        <f t="shared" si="20"/>
        <v>323096598.46324706</v>
      </c>
      <c r="AN28" s="42">
        <f t="shared" si="20"/>
        <v>323096598.46324706</v>
      </c>
      <c r="AO28" s="42">
        <f t="shared" si="20"/>
        <v>323096598.46324706</v>
      </c>
      <c r="AP28" s="42">
        <f t="shared" si="20"/>
        <v>323096598.46324706</v>
      </c>
      <c r="AQ28" s="42">
        <f t="shared" si="20"/>
        <v>323096598.46324706</v>
      </c>
      <c r="AR28" s="42">
        <f t="shared" si="20"/>
        <v>323096598.46324706</v>
      </c>
      <c r="AS28" s="42">
        <f t="shared" si="20"/>
        <v>323096598.46324706</v>
      </c>
      <c r="AT28" s="42">
        <f t="shared" si="20"/>
        <v>323096598.46324706</v>
      </c>
      <c r="AU28" s="42">
        <f t="shared" si="20"/>
        <v>323096598.46324706</v>
      </c>
      <c r="AV28" s="42">
        <f t="shared" si="20"/>
        <v>323096598.46324706</v>
      </c>
      <c r="AW28" s="42">
        <f t="shared" si="20"/>
        <v>280243658.66324705</v>
      </c>
      <c r="AX28" s="42">
        <f t="shared" si="20"/>
        <v>280243658.66324705</v>
      </c>
      <c r="AY28" s="42">
        <f t="shared" si="20"/>
        <v>280243658.66324705</v>
      </c>
      <c r="AZ28" s="42">
        <f t="shared" si="20"/>
        <v>280243658.66324705</v>
      </c>
      <c r="BA28" s="42">
        <f t="shared" si="20"/>
        <v>280243658.66324705</v>
      </c>
      <c r="BB28" s="42">
        <f t="shared" si="20"/>
        <v>280243658.66324705</v>
      </c>
      <c r="BC28" s="42">
        <f t="shared" si="20"/>
        <v>280243658.66324705</v>
      </c>
      <c r="BD28" s="42">
        <f t="shared" si="20"/>
        <v>280243658.66324705</v>
      </c>
      <c r="BE28" s="42">
        <f t="shared" si="20"/>
        <v>280243658.66324705</v>
      </c>
      <c r="BF28" s="42">
        <f t="shared" si="20"/>
        <v>280243658.66324705</v>
      </c>
      <c r="BG28" s="42">
        <f t="shared" si="20"/>
        <v>280243658.66324705</v>
      </c>
      <c r="BH28" s="42">
        <f t="shared" si="20"/>
        <v>7515463.9175257739</v>
      </c>
      <c r="BI28" s="42">
        <f t="shared" si="20"/>
        <v>7515463.9175257739</v>
      </c>
      <c r="BJ28" s="42">
        <f t="shared" si="20"/>
        <v>7515463.9175257739</v>
      </c>
      <c r="BK28" s="42">
        <f t="shared" si="20"/>
        <v>7515463.9175257739</v>
      </c>
      <c r="BL28" s="42">
        <f t="shared" si="20"/>
        <v>7515463.9175257739</v>
      </c>
      <c r="BM28" s="42">
        <f t="shared" si="20"/>
        <v>7515463.9175257739</v>
      </c>
      <c r="BN28" s="42">
        <f t="shared" si="20"/>
        <v>7515463.9175257739</v>
      </c>
      <c r="BO28" s="42">
        <f t="shared" si="20"/>
        <v>7515463.9175257739</v>
      </c>
      <c r="BP28" s="42">
        <f t="shared" si="20"/>
        <v>7515463.9175257739</v>
      </c>
      <c r="BQ28" s="42">
        <f t="shared" si="20"/>
        <v>7515463.9175257739</v>
      </c>
      <c r="BR28" s="42">
        <f t="shared" ref="BR28:DK28" si="22">SUM(BR30:BR35,BR37)</f>
        <v>7515463.9175257739</v>
      </c>
      <c r="BS28" s="42">
        <f t="shared" si="22"/>
        <v>7515463.9175257739</v>
      </c>
      <c r="BT28" s="42">
        <f t="shared" si="22"/>
        <v>7515463.9175257739</v>
      </c>
      <c r="BU28" s="42">
        <f t="shared" si="22"/>
        <v>7515463.9175257739</v>
      </c>
      <c r="BV28" s="42">
        <f t="shared" si="22"/>
        <v>7515463.9175257739</v>
      </c>
      <c r="BW28" s="42">
        <f t="shared" si="22"/>
        <v>7515463.9175257739</v>
      </c>
      <c r="BX28" s="42">
        <f t="shared" si="22"/>
        <v>7515463.9175257739</v>
      </c>
      <c r="BY28" s="42">
        <f t="shared" si="22"/>
        <v>7515463.9175257739</v>
      </c>
      <c r="BZ28" s="42">
        <f t="shared" si="22"/>
        <v>7515463.9175257739</v>
      </c>
      <c r="CA28" s="42">
        <f t="shared" si="22"/>
        <v>7515463.9175257739</v>
      </c>
      <c r="CB28" s="42">
        <f t="shared" si="22"/>
        <v>7515463.9175257739</v>
      </c>
      <c r="CC28" s="42">
        <f t="shared" si="22"/>
        <v>7515463.9175257739</v>
      </c>
      <c r="CD28" s="42">
        <f t="shared" si="22"/>
        <v>7515463.9175257739</v>
      </c>
      <c r="CE28" s="42">
        <f t="shared" si="22"/>
        <v>7515463.9175257739</v>
      </c>
      <c r="CF28" s="42">
        <f t="shared" si="22"/>
        <v>7515463.9175257739</v>
      </c>
      <c r="CG28" s="42">
        <f t="shared" si="22"/>
        <v>7515463.9175257739</v>
      </c>
      <c r="CH28" s="42">
        <f t="shared" si="22"/>
        <v>7515463.9175257739</v>
      </c>
      <c r="CI28" s="42">
        <f t="shared" si="22"/>
        <v>7515463.9175257739</v>
      </c>
      <c r="CJ28" s="42">
        <f t="shared" si="22"/>
        <v>7515463.9175257739</v>
      </c>
      <c r="CK28" s="42">
        <f t="shared" si="22"/>
        <v>7515463.9175257739</v>
      </c>
      <c r="CL28" s="42">
        <f t="shared" si="22"/>
        <v>7515463.9175257739</v>
      </c>
      <c r="CM28" s="42">
        <f t="shared" si="22"/>
        <v>7515463.9175257739</v>
      </c>
      <c r="CN28" s="42">
        <f t="shared" si="22"/>
        <v>7515463.9175257739</v>
      </c>
      <c r="CO28" s="42">
        <f t="shared" si="22"/>
        <v>7515463.9175257739</v>
      </c>
      <c r="CP28" s="42">
        <f t="shared" si="22"/>
        <v>7515463.9175257739</v>
      </c>
      <c r="CQ28" s="42">
        <f t="shared" si="22"/>
        <v>7515463.9175257739</v>
      </c>
      <c r="CR28" s="42">
        <f t="shared" si="22"/>
        <v>7515463.9175257739</v>
      </c>
      <c r="CS28" s="42">
        <f t="shared" si="22"/>
        <v>7515463.9175257739</v>
      </c>
      <c r="CT28" s="42">
        <f t="shared" si="22"/>
        <v>7515463.9175257739</v>
      </c>
      <c r="CU28" s="42">
        <f t="shared" si="22"/>
        <v>7515463.9175257739</v>
      </c>
      <c r="CV28" s="42">
        <f t="shared" si="22"/>
        <v>7515463.9175257739</v>
      </c>
      <c r="CW28" s="42">
        <f t="shared" si="22"/>
        <v>7515463.9175257739</v>
      </c>
      <c r="CX28" s="42">
        <f t="shared" si="22"/>
        <v>7515463.9175257739</v>
      </c>
      <c r="CY28" s="42">
        <f t="shared" si="22"/>
        <v>7515463.9175257739</v>
      </c>
      <c r="CZ28" s="42">
        <f t="shared" si="22"/>
        <v>7515463.9175257739</v>
      </c>
      <c r="DA28" s="42">
        <f t="shared" si="22"/>
        <v>7515463.9175257739</v>
      </c>
      <c r="DB28" s="42">
        <f t="shared" si="22"/>
        <v>7515463.9175257739</v>
      </c>
      <c r="DC28" s="42">
        <f t="shared" si="22"/>
        <v>7515463.9175257739</v>
      </c>
      <c r="DD28" s="42">
        <f t="shared" si="22"/>
        <v>7515463.9175257739</v>
      </c>
      <c r="DE28" s="42">
        <f t="shared" si="22"/>
        <v>7515463.9175257739</v>
      </c>
      <c r="DF28" s="42">
        <f t="shared" si="22"/>
        <v>7515463.9175257739</v>
      </c>
      <c r="DG28" s="42">
        <f t="shared" si="22"/>
        <v>7515463.9175257739</v>
      </c>
      <c r="DH28" s="42">
        <f t="shared" si="22"/>
        <v>7515463.9175257739</v>
      </c>
      <c r="DI28" s="42">
        <f t="shared" si="22"/>
        <v>7515463.9175257739</v>
      </c>
      <c r="DJ28" s="42">
        <f t="shared" si="22"/>
        <v>7515463.9175257739</v>
      </c>
      <c r="DK28" s="42">
        <f t="shared" si="22"/>
        <v>7515463.9175257739</v>
      </c>
    </row>
    <row r="29" spans="1:115">
      <c r="F29" s="65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</row>
    <row r="30" spans="1:115">
      <c r="A30" s="36">
        <f t="shared" ref="A30:A37" si="23">SUM(H30:I30)</f>
        <v>30310830</v>
      </c>
      <c r="B30" s="36">
        <f t="shared" ref="B30:B37" si="24">SUM(J30)</f>
        <v>15614670.000000002</v>
      </c>
      <c r="C30" s="36">
        <f>SUM(K30:R30)</f>
        <v>870694500</v>
      </c>
      <c r="D30" s="44">
        <f>SUM(S30:DK30)</f>
        <v>0</v>
      </c>
      <c r="E30" s="36">
        <f>SUM(A30:D30)</f>
        <v>916620000</v>
      </c>
      <c r="F30" s="36" t="s">
        <v>76</v>
      </c>
      <c r="G30" s="36">
        <f>'Prop 1 Funding'!B6</f>
        <v>916620000</v>
      </c>
      <c r="H30" s="36">
        <f>('Prop 1 Funding'!$B$11)*0.33</f>
        <v>15155415</v>
      </c>
      <c r="I30" s="36">
        <f>('Prop 1 Funding'!$B$11)*0.33</f>
        <v>15155415</v>
      </c>
      <c r="J30" s="36">
        <f>('Prop 1 Funding'!$B$11)*0.34</f>
        <v>15614670.000000002</v>
      </c>
      <c r="K30" s="36">
        <f>('Prop 1 Funding'!$B$13/8)</f>
        <v>108836812.5</v>
      </c>
      <c r="L30" s="54">
        <f>('Prop 1 Funding'!$B$13/8)</f>
        <v>108836812.5</v>
      </c>
      <c r="M30" s="54">
        <f>('Prop 1 Funding'!$B$13/8)</f>
        <v>108836812.5</v>
      </c>
      <c r="N30" s="54">
        <f>('Prop 1 Funding'!$B$13/8)</f>
        <v>108836812.5</v>
      </c>
      <c r="O30" s="54">
        <f>('Prop 1 Funding'!$B$13/8)</f>
        <v>108836812.5</v>
      </c>
      <c r="P30" s="54">
        <f>('Prop 1 Funding'!$B$13/8)</f>
        <v>108836812.5</v>
      </c>
      <c r="Q30" s="54">
        <f>('Prop 1 Funding'!$B$13/8)</f>
        <v>108836812.5</v>
      </c>
      <c r="R30" s="54">
        <f>('Prop 1 Funding'!$B$13/8)</f>
        <v>108836812.5</v>
      </c>
      <c r="S30" s="36">
        <v>0</v>
      </c>
      <c r="T30" s="36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0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S30" s="44">
        <v>0</v>
      </c>
      <c r="AT30" s="44">
        <v>0</v>
      </c>
      <c r="AU30" s="44">
        <v>0</v>
      </c>
      <c r="AV30" s="44">
        <v>0</v>
      </c>
      <c r="AW30" s="44">
        <v>0</v>
      </c>
      <c r="AX30" s="44">
        <v>0</v>
      </c>
      <c r="AY30" s="44">
        <v>0</v>
      </c>
      <c r="AZ30" s="44">
        <v>0</v>
      </c>
      <c r="BA30" s="44">
        <v>0</v>
      </c>
      <c r="BB30" s="44">
        <v>0</v>
      </c>
      <c r="BC30" s="44">
        <v>0</v>
      </c>
      <c r="BD30" s="44">
        <v>0</v>
      </c>
      <c r="BE30" s="44">
        <v>0</v>
      </c>
      <c r="BF30" s="44">
        <v>0</v>
      </c>
      <c r="BG30" s="44">
        <v>0</v>
      </c>
      <c r="BH30" s="44">
        <v>0</v>
      </c>
      <c r="BI30" s="44">
        <v>0</v>
      </c>
      <c r="BJ30" s="44">
        <v>0</v>
      </c>
      <c r="BK30" s="44">
        <v>0</v>
      </c>
      <c r="BL30" s="44">
        <v>0</v>
      </c>
      <c r="BM30" s="44">
        <v>0</v>
      </c>
      <c r="BN30" s="44">
        <v>0</v>
      </c>
      <c r="BO30" s="44">
        <v>0</v>
      </c>
      <c r="BP30" s="44">
        <v>0</v>
      </c>
      <c r="BQ30" s="4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4">
        <v>0</v>
      </c>
      <c r="DA30" s="54">
        <v>0</v>
      </c>
      <c r="DB30" s="54">
        <v>0</v>
      </c>
      <c r="DC30" s="54">
        <v>0</v>
      </c>
      <c r="DD30" s="54">
        <v>0</v>
      </c>
      <c r="DE30" s="54">
        <v>0</v>
      </c>
      <c r="DF30" s="54">
        <v>0</v>
      </c>
      <c r="DG30" s="54">
        <v>0</v>
      </c>
      <c r="DH30" s="54">
        <v>0</v>
      </c>
      <c r="DI30" s="54">
        <v>0</v>
      </c>
      <c r="DJ30" s="54">
        <v>0</v>
      </c>
      <c r="DK30" s="54">
        <v>0</v>
      </c>
    </row>
    <row r="31" spans="1:115">
      <c r="A31" s="36">
        <f t="shared" si="23"/>
        <v>0</v>
      </c>
      <c r="B31" s="36">
        <f t="shared" si="24"/>
        <v>0</v>
      </c>
      <c r="C31" s="54">
        <f t="shared" ref="C31:C35" si="25">SUM(K31:R31)</f>
        <v>0</v>
      </c>
      <c r="D31" s="54">
        <f t="shared" ref="D31:D35" si="26">SUM(S31:DK31)</f>
        <v>0</v>
      </c>
      <c r="E31" s="44">
        <f t="shared" ref="E31:E35" si="27">SUM(A31:D31)</f>
        <v>0</v>
      </c>
      <c r="F31" s="36" t="s">
        <v>74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4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54">
        <v>0</v>
      </c>
      <c r="BO31" s="54">
        <v>0</v>
      </c>
      <c r="BP31" s="54">
        <v>0</v>
      </c>
      <c r="BQ31" s="54">
        <v>0</v>
      </c>
      <c r="BR31" s="54">
        <v>0</v>
      </c>
      <c r="BS31" s="54">
        <v>0</v>
      </c>
      <c r="BT31" s="54">
        <v>0</v>
      </c>
      <c r="BU31" s="54">
        <v>0</v>
      </c>
      <c r="BV31" s="54">
        <v>0</v>
      </c>
      <c r="BW31" s="54">
        <v>0</v>
      </c>
      <c r="BX31" s="54">
        <v>0</v>
      </c>
      <c r="BY31" s="54">
        <v>0</v>
      </c>
      <c r="BZ31" s="54">
        <v>0</v>
      </c>
      <c r="CA31" s="54">
        <v>0</v>
      </c>
      <c r="CB31" s="54">
        <v>0</v>
      </c>
      <c r="CC31" s="54">
        <v>0</v>
      </c>
      <c r="CD31" s="54">
        <v>0</v>
      </c>
      <c r="CE31" s="54">
        <v>0</v>
      </c>
      <c r="CF31" s="54">
        <v>0</v>
      </c>
      <c r="CG31" s="54">
        <v>0</v>
      </c>
      <c r="CH31" s="54">
        <v>0</v>
      </c>
      <c r="CI31" s="54">
        <v>0</v>
      </c>
      <c r="CJ31" s="54">
        <v>0</v>
      </c>
      <c r="CK31" s="54">
        <v>0</v>
      </c>
      <c r="CL31" s="54">
        <v>0</v>
      </c>
      <c r="CM31" s="54">
        <v>0</v>
      </c>
      <c r="CN31" s="54">
        <v>0</v>
      </c>
      <c r="CO31" s="54">
        <v>0</v>
      </c>
      <c r="CP31" s="54">
        <v>0</v>
      </c>
      <c r="CQ31" s="54">
        <v>0</v>
      </c>
      <c r="CR31" s="54">
        <v>0</v>
      </c>
      <c r="CS31" s="54">
        <v>0</v>
      </c>
      <c r="CT31" s="54">
        <v>0</v>
      </c>
      <c r="CU31" s="54">
        <v>0</v>
      </c>
      <c r="CV31" s="54">
        <v>0</v>
      </c>
      <c r="CW31" s="54">
        <v>0</v>
      </c>
      <c r="CX31" s="54">
        <v>0</v>
      </c>
      <c r="CY31" s="54">
        <v>0</v>
      </c>
      <c r="CZ31" s="54">
        <v>0</v>
      </c>
      <c r="DA31" s="54">
        <v>0</v>
      </c>
      <c r="DB31" s="54">
        <v>0</v>
      </c>
      <c r="DC31" s="54">
        <v>0</v>
      </c>
      <c r="DD31" s="54">
        <v>0</v>
      </c>
      <c r="DE31" s="54">
        <v>0</v>
      </c>
      <c r="DF31" s="54">
        <v>0</v>
      </c>
      <c r="DG31" s="54">
        <v>0</v>
      </c>
      <c r="DH31" s="54">
        <v>0</v>
      </c>
      <c r="DI31" s="54">
        <v>0</v>
      </c>
      <c r="DJ31" s="54">
        <v>0</v>
      </c>
      <c r="DK31" s="54">
        <v>0</v>
      </c>
    </row>
    <row r="32" spans="1:115">
      <c r="A32" s="36">
        <f>SUM(I32:J32)</f>
        <v>0</v>
      </c>
      <c r="B32" s="36">
        <f>SUM(K32)</f>
        <v>0</v>
      </c>
      <c r="C32" s="54">
        <f>SUM(K32:R32)</f>
        <v>500000000</v>
      </c>
      <c r="D32" s="54">
        <f t="shared" si="26"/>
        <v>0</v>
      </c>
      <c r="E32" s="44">
        <f t="shared" si="27"/>
        <v>500000000</v>
      </c>
      <c r="F32" s="36" t="s">
        <v>75</v>
      </c>
      <c r="G32" s="36">
        <f>'USDA Low Interest Loan'!A2</f>
        <v>500000000</v>
      </c>
      <c r="H32" s="36">
        <v>0</v>
      </c>
      <c r="I32" s="36">
        <v>0</v>
      </c>
      <c r="J32" s="36">
        <v>0</v>
      </c>
      <c r="K32" s="36">
        <v>0</v>
      </c>
      <c r="L32" s="44">
        <f t="shared" ref="L32:O32" si="28">$G$32*0.25</f>
        <v>125000000</v>
      </c>
      <c r="M32" s="44">
        <f t="shared" si="28"/>
        <v>125000000</v>
      </c>
      <c r="N32" s="44">
        <f t="shared" si="28"/>
        <v>125000000</v>
      </c>
      <c r="O32" s="54">
        <f t="shared" si="28"/>
        <v>125000000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44">
        <v>0</v>
      </c>
      <c r="AT32" s="44">
        <v>0</v>
      </c>
      <c r="AU32" s="44">
        <v>0</v>
      </c>
      <c r="AV32" s="44">
        <v>0</v>
      </c>
      <c r="AW32" s="44">
        <v>0</v>
      </c>
      <c r="AX32" s="44">
        <v>0</v>
      </c>
      <c r="AY32" s="44">
        <v>0</v>
      </c>
      <c r="AZ32" s="44">
        <v>0</v>
      </c>
      <c r="BA32" s="44">
        <v>0</v>
      </c>
      <c r="BB32" s="44">
        <v>0</v>
      </c>
      <c r="BC32" s="44">
        <v>0</v>
      </c>
      <c r="BD32" s="44">
        <v>0</v>
      </c>
      <c r="BE32" s="44">
        <v>0</v>
      </c>
      <c r="BF32" s="44">
        <v>0</v>
      </c>
      <c r="BG32" s="44">
        <v>0</v>
      </c>
      <c r="BH32" s="44">
        <v>0</v>
      </c>
      <c r="BI32" s="44">
        <v>0</v>
      </c>
      <c r="BJ32" s="44">
        <v>0</v>
      </c>
      <c r="BK32" s="44">
        <v>0</v>
      </c>
      <c r="BL32" s="44">
        <v>0</v>
      </c>
      <c r="BM32" s="44">
        <v>0</v>
      </c>
      <c r="BN32" s="44">
        <v>0</v>
      </c>
      <c r="BO32" s="44">
        <v>0</v>
      </c>
      <c r="BP32" s="44">
        <v>0</v>
      </c>
      <c r="BQ32" s="44">
        <v>0</v>
      </c>
      <c r="BR32" s="54">
        <v>0</v>
      </c>
      <c r="BS32" s="54">
        <v>0</v>
      </c>
      <c r="BT32" s="54">
        <v>0</v>
      </c>
      <c r="BU32" s="54">
        <v>0</v>
      </c>
      <c r="BV32" s="54">
        <v>0</v>
      </c>
      <c r="BW32" s="54">
        <v>0</v>
      </c>
      <c r="BX32" s="54">
        <v>0</v>
      </c>
      <c r="BY32" s="54">
        <v>0</v>
      </c>
      <c r="BZ32" s="54">
        <v>0</v>
      </c>
      <c r="CA32" s="54">
        <v>0</v>
      </c>
      <c r="CB32" s="54">
        <v>0</v>
      </c>
      <c r="CC32" s="54">
        <v>0</v>
      </c>
      <c r="CD32" s="54">
        <v>0</v>
      </c>
      <c r="CE32" s="54">
        <v>0</v>
      </c>
      <c r="CF32" s="54">
        <v>0</v>
      </c>
      <c r="CG32" s="54">
        <v>0</v>
      </c>
      <c r="CH32" s="54">
        <v>0</v>
      </c>
      <c r="CI32" s="54">
        <v>0</v>
      </c>
      <c r="CJ32" s="54">
        <v>0</v>
      </c>
      <c r="CK32" s="54">
        <v>0</v>
      </c>
      <c r="CL32" s="54">
        <v>0</v>
      </c>
      <c r="CM32" s="54">
        <v>0</v>
      </c>
      <c r="CN32" s="54">
        <v>0</v>
      </c>
      <c r="CO32" s="54">
        <v>0</v>
      </c>
      <c r="CP32" s="54">
        <v>0</v>
      </c>
      <c r="CQ32" s="54">
        <v>0</v>
      </c>
      <c r="CR32" s="54">
        <v>0</v>
      </c>
      <c r="CS32" s="54">
        <v>0</v>
      </c>
      <c r="CT32" s="54">
        <v>0</v>
      </c>
      <c r="CU32" s="54">
        <v>0</v>
      </c>
      <c r="CV32" s="54">
        <v>0</v>
      </c>
      <c r="CW32" s="54">
        <v>0</v>
      </c>
      <c r="CX32" s="54">
        <v>0</v>
      </c>
      <c r="CY32" s="54">
        <v>0</v>
      </c>
      <c r="CZ32" s="54">
        <v>0</v>
      </c>
      <c r="DA32" s="54">
        <v>0</v>
      </c>
      <c r="DB32" s="54">
        <v>0</v>
      </c>
      <c r="DC32" s="54">
        <v>0</v>
      </c>
      <c r="DD32" s="54">
        <v>0</v>
      </c>
      <c r="DE32" s="54">
        <v>0</v>
      </c>
      <c r="DF32" s="54">
        <v>0</v>
      </c>
      <c r="DG32" s="54">
        <v>0</v>
      </c>
      <c r="DH32" s="54">
        <v>0</v>
      </c>
      <c r="DI32" s="54">
        <v>0</v>
      </c>
      <c r="DJ32" s="54">
        <v>0</v>
      </c>
      <c r="DK32" s="54">
        <v>0</v>
      </c>
    </row>
    <row r="33" spans="1:115">
      <c r="A33" s="36">
        <f t="shared" si="23"/>
        <v>168389936.51615709</v>
      </c>
      <c r="B33" s="36">
        <f t="shared" si="24"/>
        <v>330579751.24832821</v>
      </c>
      <c r="C33" s="54">
        <f t="shared" si="25"/>
        <v>0</v>
      </c>
      <c r="D33" s="54">
        <f t="shared" si="26"/>
        <v>0</v>
      </c>
      <c r="E33" s="44">
        <f t="shared" si="27"/>
        <v>498969687.7644853</v>
      </c>
      <c r="F33" s="36" t="s">
        <v>85</v>
      </c>
      <c r="G33" s="36">
        <f>LineOfCredit!B9</f>
        <v>1141987549.6968572</v>
      </c>
      <c r="H33" s="36">
        <f>LineOfCredit!B4</f>
        <v>77292026.275014043</v>
      </c>
      <c r="I33" s="36">
        <f>LineOfCredit!B5</f>
        <v>91097910.241143063</v>
      </c>
      <c r="J33" s="36">
        <f>LineOfCredit!B6</f>
        <v>330579751.24832821</v>
      </c>
      <c r="K33" s="36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36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4">
        <v>0</v>
      </c>
      <c r="AD33" s="44">
        <v>0</v>
      </c>
      <c r="AE33" s="44">
        <v>0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S33" s="44">
        <v>0</v>
      </c>
      <c r="AT33" s="44">
        <v>0</v>
      </c>
      <c r="AU33" s="44">
        <v>0</v>
      </c>
      <c r="AV33" s="44">
        <v>0</v>
      </c>
      <c r="AW33" s="44">
        <v>0</v>
      </c>
      <c r="AX33" s="44">
        <v>0</v>
      </c>
      <c r="AY33" s="44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0</v>
      </c>
      <c r="BH33" s="44">
        <v>0</v>
      </c>
      <c r="BI33" s="44">
        <v>0</v>
      </c>
      <c r="BJ33" s="44">
        <v>0</v>
      </c>
      <c r="BK33" s="44">
        <v>0</v>
      </c>
      <c r="BL33" s="44">
        <v>0</v>
      </c>
      <c r="BM33" s="44">
        <v>0</v>
      </c>
      <c r="BN33" s="44">
        <v>0</v>
      </c>
      <c r="BO33" s="44">
        <v>0</v>
      </c>
      <c r="BP33" s="44">
        <v>0</v>
      </c>
      <c r="BQ33" s="4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4">
        <v>0</v>
      </c>
      <c r="DA33" s="54">
        <v>0</v>
      </c>
      <c r="DB33" s="54">
        <v>0</v>
      </c>
      <c r="DC33" s="54">
        <v>0</v>
      </c>
      <c r="DD33" s="54">
        <v>0</v>
      </c>
      <c r="DE33" s="54">
        <v>0</v>
      </c>
      <c r="DF33" s="54">
        <v>0</v>
      </c>
      <c r="DG33" s="54">
        <v>0</v>
      </c>
      <c r="DH33" s="54">
        <v>0</v>
      </c>
      <c r="DI33" s="54">
        <v>0</v>
      </c>
      <c r="DJ33" s="54">
        <v>0</v>
      </c>
      <c r="DK33" s="54">
        <v>0</v>
      </c>
    </row>
    <row r="34" spans="1:115">
      <c r="A34" s="36">
        <f t="shared" si="23"/>
        <v>0</v>
      </c>
      <c r="B34" s="36">
        <f t="shared" si="24"/>
        <v>0</v>
      </c>
      <c r="C34" s="54">
        <f t="shared" si="25"/>
        <v>5451498693.9205465</v>
      </c>
      <c r="D34" s="54">
        <f t="shared" si="26"/>
        <v>0</v>
      </c>
      <c r="E34" s="44">
        <f t="shared" si="27"/>
        <v>5451498693.9205465</v>
      </c>
      <c r="F34" s="36" t="s">
        <v>86</v>
      </c>
      <c r="G34" s="36">
        <f>'Construction Bonds'!B14</f>
        <v>5451498693.9205465</v>
      </c>
      <c r="H34" s="36">
        <v>0</v>
      </c>
      <c r="I34" s="36">
        <v>0</v>
      </c>
      <c r="J34" s="36">
        <v>0</v>
      </c>
      <c r="K34" s="36">
        <f>'Construction Bonds'!B3</f>
        <v>2561637876.4060659</v>
      </c>
      <c r="L34" s="36">
        <f>'Construction Bonds'!B4</f>
        <v>0</v>
      </c>
      <c r="M34" s="36">
        <v>0</v>
      </c>
      <c r="N34" s="36">
        <f>'Construction Bonds'!B6</f>
        <v>2170466519.0107203</v>
      </c>
      <c r="O34" s="36">
        <v>0</v>
      </c>
      <c r="P34" s="36">
        <v>0</v>
      </c>
      <c r="Q34" s="36">
        <f>'Construction Bonds'!B9</f>
        <v>719394298.5037607</v>
      </c>
      <c r="R34" s="36">
        <v>0</v>
      </c>
      <c r="S34" s="36">
        <v>0</v>
      </c>
      <c r="T34" s="36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0</v>
      </c>
      <c r="AN34" s="44">
        <v>0</v>
      </c>
      <c r="AO34" s="44">
        <v>0</v>
      </c>
      <c r="AP34" s="44">
        <v>0</v>
      </c>
      <c r="AQ34" s="44">
        <v>0</v>
      </c>
      <c r="AR34" s="44">
        <v>0</v>
      </c>
      <c r="AS34" s="44">
        <v>0</v>
      </c>
      <c r="AT34" s="44">
        <v>0</v>
      </c>
      <c r="AU34" s="44">
        <v>0</v>
      </c>
      <c r="AV34" s="44">
        <v>0</v>
      </c>
      <c r="AW34" s="44">
        <v>0</v>
      </c>
      <c r="AX34" s="44">
        <v>0</v>
      </c>
      <c r="AY34" s="44">
        <v>0</v>
      </c>
      <c r="AZ34" s="44">
        <v>0</v>
      </c>
      <c r="BA34" s="44">
        <v>0</v>
      </c>
      <c r="BB34" s="44">
        <v>0</v>
      </c>
      <c r="BC34" s="44">
        <v>0</v>
      </c>
      <c r="BD34" s="44">
        <v>0</v>
      </c>
      <c r="BE34" s="44">
        <v>0</v>
      </c>
      <c r="BF34" s="44">
        <v>0</v>
      </c>
      <c r="BG34" s="44">
        <v>0</v>
      </c>
      <c r="BH34" s="44">
        <v>0</v>
      </c>
      <c r="BI34" s="44">
        <v>0</v>
      </c>
      <c r="BJ34" s="44">
        <v>0</v>
      </c>
      <c r="BK34" s="44">
        <v>0</v>
      </c>
      <c r="BL34" s="44">
        <v>0</v>
      </c>
      <c r="BM34" s="44">
        <v>0</v>
      </c>
      <c r="BN34" s="44">
        <v>0</v>
      </c>
      <c r="BO34" s="44">
        <v>0</v>
      </c>
      <c r="BP34" s="44">
        <v>0</v>
      </c>
      <c r="BQ34" s="44">
        <v>0</v>
      </c>
      <c r="BR34" s="54">
        <v>0</v>
      </c>
      <c r="BS34" s="54">
        <v>0</v>
      </c>
      <c r="BT34" s="54">
        <v>0</v>
      </c>
      <c r="BU34" s="54">
        <v>0</v>
      </c>
      <c r="BV34" s="54">
        <v>0</v>
      </c>
      <c r="BW34" s="54">
        <v>0</v>
      </c>
      <c r="BX34" s="54">
        <v>0</v>
      </c>
      <c r="BY34" s="54">
        <v>0</v>
      </c>
      <c r="BZ34" s="54">
        <v>0</v>
      </c>
      <c r="CA34" s="54">
        <v>0</v>
      </c>
      <c r="CB34" s="54">
        <v>0</v>
      </c>
      <c r="CC34" s="54">
        <v>0</v>
      </c>
      <c r="CD34" s="54">
        <v>0</v>
      </c>
      <c r="CE34" s="54">
        <v>0</v>
      </c>
      <c r="CF34" s="54">
        <v>0</v>
      </c>
      <c r="CG34" s="54">
        <v>0</v>
      </c>
      <c r="CH34" s="54">
        <v>0</v>
      </c>
      <c r="CI34" s="54">
        <v>0</v>
      </c>
      <c r="CJ34" s="54">
        <v>0</v>
      </c>
      <c r="CK34" s="54">
        <v>0</v>
      </c>
      <c r="CL34" s="54">
        <v>0</v>
      </c>
      <c r="CM34" s="54">
        <v>0</v>
      </c>
      <c r="CN34" s="54">
        <v>0</v>
      </c>
      <c r="CO34" s="54">
        <v>0</v>
      </c>
      <c r="CP34" s="54">
        <v>0</v>
      </c>
      <c r="CQ34" s="54">
        <v>0</v>
      </c>
      <c r="CR34" s="54">
        <v>0</v>
      </c>
      <c r="CS34" s="54">
        <v>0</v>
      </c>
      <c r="CT34" s="54">
        <v>0</v>
      </c>
      <c r="CU34" s="54">
        <v>0</v>
      </c>
      <c r="CV34" s="54">
        <v>0</v>
      </c>
      <c r="CW34" s="54">
        <v>0</v>
      </c>
      <c r="CX34" s="54">
        <v>0</v>
      </c>
      <c r="CY34" s="54">
        <v>0</v>
      </c>
      <c r="CZ34" s="54">
        <v>0</v>
      </c>
      <c r="DA34" s="54">
        <v>0</v>
      </c>
      <c r="DB34" s="54">
        <v>0</v>
      </c>
      <c r="DC34" s="54">
        <v>0</v>
      </c>
      <c r="DD34" s="54">
        <v>0</v>
      </c>
      <c r="DE34" s="54">
        <v>0</v>
      </c>
      <c r="DF34" s="54">
        <v>0</v>
      </c>
      <c r="DG34" s="54">
        <v>0</v>
      </c>
      <c r="DH34" s="54">
        <v>0</v>
      </c>
      <c r="DI34" s="54">
        <v>0</v>
      </c>
      <c r="DJ34" s="54">
        <v>0</v>
      </c>
      <c r="DK34" s="54">
        <v>0</v>
      </c>
    </row>
    <row r="35" spans="1:115" s="44" customFormat="1">
      <c r="A35" s="44">
        <f t="shared" ref="A35" si="29">SUM(H35:I35)</f>
        <v>0</v>
      </c>
      <c r="B35" s="44">
        <f t="shared" ref="B35" si="30">SUM(J35)</f>
        <v>0</v>
      </c>
      <c r="C35" s="54">
        <f t="shared" si="25"/>
        <v>0</v>
      </c>
      <c r="D35" s="54">
        <f t="shared" si="26"/>
        <v>5451498693.9205465</v>
      </c>
      <c r="E35" s="44">
        <f t="shared" si="27"/>
        <v>5451498693.9205465</v>
      </c>
      <c r="F35" s="44" t="s">
        <v>109</v>
      </c>
      <c r="G35" s="44">
        <f>'Construction Bonds'!B22</f>
        <v>5451498693.9205465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f>'Construction Bonds'!B22</f>
        <v>5451498693.9205465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S35" s="44">
        <v>0</v>
      </c>
      <c r="AT35" s="44">
        <v>0</v>
      </c>
      <c r="AU35" s="44">
        <v>0</v>
      </c>
      <c r="AV35" s="44">
        <v>0</v>
      </c>
      <c r="AW35" s="44">
        <v>0</v>
      </c>
      <c r="AX35" s="44">
        <v>0</v>
      </c>
      <c r="AY35" s="44">
        <v>0</v>
      </c>
      <c r="AZ35" s="44">
        <v>0</v>
      </c>
      <c r="BA35" s="44">
        <v>0</v>
      </c>
      <c r="BB35" s="44">
        <v>0</v>
      </c>
      <c r="BC35" s="44">
        <v>0</v>
      </c>
      <c r="BD35" s="44">
        <v>0</v>
      </c>
      <c r="BE35" s="44">
        <v>0</v>
      </c>
      <c r="BF35" s="44">
        <v>0</v>
      </c>
      <c r="BG35" s="44">
        <v>0</v>
      </c>
      <c r="BH35" s="44">
        <v>0</v>
      </c>
      <c r="BI35" s="44">
        <v>0</v>
      </c>
      <c r="BJ35" s="44">
        <v>0</v>
      </c>
      <c r="BK35" s="44">
        <v>0</v>
      </c>
      <c r="BL35" s="44">
        <v>0</v>
      </c>
      <c r="BM35" s="44">
        <v>0</v>
      </c>
      <c r="BN35" s="44">
        <v>0</v>
      </c>
      <c r="BO35" s="44">
        <v>0</v>
      </c>
      <c r="BP35" s="44">
        <v>0</v>
      </c>
      <c r="BQ35" s="44">
        <v>0</v>
      </c>
      <c r="BR35" s="54">
        <v>0</v>
      </c>
      <c r="BS35" s="54">
        <v>0</v>
      </c>
      <c r="BT35" s="54">
        <v>0</v>
      </c>
      <c r="BU35" s="54">
        <v>0</v>
      </c>
      <c r="BV35" s="54">
        <v>0</v>
      </c>
      <c r="BW35" s="54">
        <v>0</v>
      </c>
      <c r="BX35" s="54">
        <v>0</v>
      </c>
      <c r="BY35" s="54">
        <v>0</v>
      </c>
      <c r="BZ35" s="54">
        <v>0</v>
      </c>
      <c r="CA35" s="54">
        <v>0</v>
      </c>
      <c r="CB35" s="54">
        <v>0</v>
      </c>
      <c r="CC35" s="54">
        <v>0</v>
      </c>
      <c r="CD35" s="54">
        <v>0</v>
      </c>
      <c r="CE35" s="54">
        <v>0</v>
      </c>
      <c r="CF35" s="54">
        <v>0</v>
      </c>
      <c r="CG35" s="54">
        <v>0</v>
      </c>
      <c r="CH35" s="54">
        <v>0</v>
      </c>
      <c r="CI35" s="54">
        <v>0</v>
      </c>
      <c r="CJ35" s="54">
        <v>0</v>
      </c>
      <c r="CK35" s="54">
        <v>0</v>
      </c>
      <c r="CL35" s="54">
        <v>0</v>
      </c>
      <c r="CM35" s="54">
        <v>0</v>
      </c>
      <c r="CN35" s="54">
        <v>0</v>
      </c>
      <c r="CO35" s="54">
        <v>0</v>
      </c>
      <c r="CP35" s="54">
        <v>0</v>
      </c>
      <c r="CQ35" s="54">
        <v>0</v>
      </c>
      <c r="CR35" s="54">
        <v>0</v>
      </c>
      <c r="CS35" s="54">
        <v>0</v>
      </c>
      <c r="CT35" s="54">
        <v>0</v>
      </c>
      <c r="CU35" s="54">
        <v>0</v>
      </c>
      <c r="CV35" s="54">
        <v>0</v>
      </c>
      <c r="CW35" s="54">
        <v>0</v>
      </c>
      <c r="CX35" s="54">
        <v>0</v>
      </c>
      <c r="CY35" s="54">
        <v>0</v>
      </c>
      <c r="CZ35" s="54">
        <v>0</v>
      </c>
      <c r="DA35" s="54">
        <v>0</v>
      </c>
      <c r="DB35" s="54">
        <v>0</v>
      </c>
      <c r="DC35" s="54">
        <v>0</v>
      </c>
      <c r="DD35" s="54">
        <v>0</v>
      </c>
      <c r="DE35" s="54">
        <v>0</v>
      </c>
      <c r="DF35" s="54">
        <v>0</v>
      </c>
      <c r="DG35" s="54">
        <v>0</v>
      </c>
      <c r="DH35" s="54">
        <v>0</v>
      </c>
      <c r="DI35" s="54">
        <v>0</v>
      </c>
      <c r="DJ35" s="54">
        <v>0</v>
      </c>
      <c r="DK35" s="54">
        <v>0</v>
      </c>
    </row>
    <row r="36" spans="1:115" s="44" customFormat="1">
      <c r="F36" s="44" t="s">
        <v>140</v>
      </c>
      <c r="H36" s="54">
        <v>0</v>
      </c>
      <c r="I36" s="54">
        <f t="shared" ref="I36:K36" si="31">H3</f>
        <v>-12969225.391652629</v>
      </c>
      <c r="J36" s="54">
        <f t="shared" si="31"/>
        <v>-25996674.758856937</v>
      </c>
      <c r="K36" s="54">
        <f t="shared" si="31"/>
        <v>-8972245.4183384776</v>
      </c>
      <c r="L36" s="44">
        <f>K3</f>
        <v>466534758.25682783</v>
      </c>
      <c r="M36" s="54">
        <f t="shared" ref="M36:V36" si="32">L3</f>
        <v>93424427.899684906</v>
      </c>
      <c r="N36" s="54">
        <f t="shared" si="32"/>
        <v>-409143045.31460077</v>
      </c>
      <c r="O36" s="54">
        <f t="shared" si="32"/>
        <v>1362998857.624691</v>
      </c>
      <c r="P36" s="54">
        <f t="shared" si="32"/>
        <v>964674241.55326223</v>
      </c>
      <c r="Q36" s="54">
        <f t="shared" si="32"/>
        <v>431921054.05326211</v>
      </c>
      <c r="R36" s="54">
        <f t="shared" si="32"/>
        <v>719733593.62845135</v>
      </c>
      <c r="S36" s="54">
        <f t="shared" si="32"/>
        <v>569908977.55702269</v>
      </c>
      <c r="T36" s="54">
        <f t="shared" si="32"/>
        <v>569908977.55702281</v>
      </c>
      <c r="U36" s="54">
        <f t="shared" si="32"/>
        <v>569908977.55702305</v>
      </c>
      <c r="V36" s="54">
        <f t="shared" si="32"/>
        <v>569908977.55702305</v>
      </c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</row>
    <row r="37" spans="1:115" s="47" customFormat="1">
      <c r="A37" s="47">
        <f t="shared" si="23"/>
        <v>6142049.0697792796</v>
      </c>
      <c r="B37" s="47">
        <f t="shared" si="24"/>
        <v>12474242.194112133</v>
      </c>
      <c r="C37" s="47">
        <f>SUM(K37:R37)</f>
        <v>1311368968.1323862</v>
      </c>
      <c r="D37" s="44">
        <f>SUM(S37:DK37)</f>
        <v>13141775931.585695</v>
      </c>
      <c r="E37" s="44">
        <f>SUM(A37:D37)</f>
        <v>14471761190.981974</v>
      </c>
      <c r="F37" s="47" t="s">
        <v>100</v>
      </c>
      <c r="G37" s="47">
        <f>SUM(H37:DK37)</f>
        <v>14471761190.981974</v>
      </c>
      <c r="H37" s="47">
        <f>LineOfCredit!C4</f>
        <v>1932300.6568753512</v>
      </c>
      <c r="I37" s="47">
        <f>LineOfCredit!C4+LineOfCredit!C5</f>
        <v>4209748.4129039282</v>
      </c>
      <c r="J37" s="47">
        <f>LineOfCredit!C4+LineOfCredit!C5+LineOfCredit!C6</f>
        <v>12474242.194112133</v>
      </c>
      <c r="K37" s="47">
        <f>'Construction Bonds'!C3</f>
        <v>102465515.05624264</v>
      </c>
      <c r="L37" s="47">
        <f>'Construction Bonds'!$C$3+'Construction Bonds'!$C$4</f>
        <v>102465515.05624264</v>
      </c>
      <c r="M37" s="47">
        <f>'Construction Bonds'!$C$3+'Construction Bonds'!$C$4</f>
        <v>102465515.05624264</v>
      </c>
      <c r="N37" s="47">
        <f>'Construction Bonds'!$C$3+'Construction Bonds'!$C$4+'Construction Bonds'!$C$6</f>
        <v>189284175.81667146</v>
      </c>
      <c r="O37" s="47">
        <f>'Construction Bonds'!$C$3+'Construction Bonds'!$C$4+'Construction Bonds'!$C$6</f>
        <v>189284175.81667146</v>
      </c>
      <c r="P37" s="47">
        <f>'Construction Bonds'!$C$3+'Construction Bonds'!$C$4+'Construction Bonds'!$C$6</f>
        <v>189284175.81667146</v>
      </c>
      <c r="Q37" s="47">
        <f>'Construction Bonds'!$C$3+'Construction Bonds'!$C$4+'Construction Bonds'!$C$6+'Construction Bonds'!$C$9</f>
        <v>218059947.7568219</v>
      </c>
      <c r="R37" s="47">
        <f>'Construction Bonds'!$C$3+'Construction Bonds'!$C$4+'Construction Bonds'!$C$6+'Construction Bonds'!$C$9</f>
        <v>218059947.7568219</v>
      </c>
      <c r="S37" s="47">
        <f>'Construction Bonds'!$C$3+'Construction Bonds'!$C$4+'Construction Bonds'!$C$6+'Construction Bonds'!$C$9+'O&amp;M Cost Estimate'!$G$16+WaterQualMitigationMonitoring!$B$6+'USDA Low Interest Loan'!$A$9</f>
        <v>268428351.47434771</v>
      </c>
      <c r="T37" s="47">
        <f>'Construction Bonds'!$C$22+'O&amp;M Cost Estimate'!$G$16+WaterQualMitigationMonitoring!$B$6+'USDA Low Interest Loan'!$A$9</f>
        <v>323096598.46324706</v>
      </c>
      <c r="U37" s="47">
        <f>'Construction Bonds'!$C$22+'O&amp;M Cost Estimate'!$G$16+WaterQualMitigationMonitoring!$B$6+'USDA Low Interest Loan'!$A$9</f>
        <v>323096598.46324706</v>
      </c>
      <c r="V37" s="47">
        <f>'Construction Bonds'!$C$22+'O&amp;M Cost Estimate'!$G$16+WaterQualMitigationMonitoring!$B$6+'USDA Low Interest Loan'!$A$9</f>
        <v>323096598.46324706</v>
      </c>
      <c r="W37" s="47">
        <f>'Construction Bonds'!$C$22+'O&amp;M Cost Estimate'!$G$16+WaterQualMitigationMonitoring!$B$6+'USDA Low Interest Loan'!$A$9</f>
        <v>323096598.46324706</v>
      </c>
      <c r="X37" s="47">
        <f>'Construction Bonds'!$C$22+'O&amp;M Cost Estimate'!$G$16+WaterQualMitigationMonitoring!$B$6+'USDA Low Interest Loan'!$A$9</f>
        <v>323096598.46324706</v>
      </c>
      <c r="Y37" s="47">
        <f>'Construction Bonds'!$C$22+'O&amp;M Cost Estimate'!$G$16+WaterQualMitigationMonitoring!$B$6+'USDA Low Interest Loan'!$A$9</f>
        <v>323096598.46324706</v>
      </c>
      <c r="Z37" s="47">
        <f>'Construction Bonds'!$C$22+'O&amp;M Cost Estimate'!$G$16+WaterQualMitigationMonitoring!$B$6+'USDA Low Interest Loan'!$A$9</f>
        <v>323096598.46324706</v>
      </c>
      <c r="AA37" s="47">
        <f>'Construction Bonds'!$C$22+'O&amp;M Cost Estimate'!$G$16+WaterQualMitigationMonitoring!$B$6+'USDA Low Interest Loan'!$A$9</f>
        <v>323096598.46324706</v>
      </c>
      <c r="AB37" s="47">
        <f>'Construction Bonds'!$C$22+'O&amp;M Cost Estimate'!$G$16+WaterQualMitigationMonitoring!$B$6+'USDA Low Interest Loan'!$A$9</f>
        <v>323096598.46324706</v>
      </c>
      <c r="AC37" s="47">
        <f>'Construction Bonds'!$C$22+'O&amp;M Cost Estimate'!$G$16+WaterQualMitigationMonitoring!$B$6+'USDA Low Interest Loan'!$A$9</f>
        <v>323096598.46324706</v>
      </c>
      <c r="AD37" s="47">
        <f>'Construction Bonds'!$C$22+'O&amp;M Cost Estimate'!$G$16+WaterQualMitigationMonitoring!$B$6+'USDA Low Interest Loan'!$A$9</f>
        <v>323096598.46324706</v>
      </c>
      <c r="AE37" s="47">
        <f>'Construction Bonds'!$C$22+'O&amp;M Cost Estimate'!$G$16+WaterQualMitigationMonitoring!$B$6+'USDA Low Interest Loan'!$A$9</f>
        <v>323096598.46324706</v>
      </c>
      <c r="AF37" s="47">
        <f>'Construction Bonds'!$C$22+'O&amp;M Cost Estimate'!$G$16+WaterQualMitigationMonitoring!$B$6+'USDA Low Interest Loan'!$A$9</f>
        <v>323096598.46324706</v>
      </c>
      <c r="AG37" s="47">
        <f>'Construction Bonds'!$C$22+'O&amp;M Cost Estimate'!$G$16+WaterQualMitigationMonitoring!$B$6+'USDA Low Interest Loan'!$A$9</f>
        <v>323096598.46324706</v>
      </c>
      <c r="AH37" s="47">
        <f>'Construction Bonds'!$C$22+'O&amp;M Cost Estimate'!$G$16+WaterQualMitigationMonitoring!$B$6+'USDA Low Interest Loan'!$A$9</f>
        <v>323096598.46324706</v>
      </c>
      <c r="AI37" s="47">
        <f>'Construction Bonds'!$C$22+'O&amp;M Cost Estimate'!$G$16+WaterQualMitigationMonitoring!$B$6+'USDA Low Interest Loan'!$A$9</f>
        <v>323096598.46324706</v>
      </c>
      <c r="AJ37" s="47">
        <f>'Construction Bonds'!$C$22+'O&amp;M Cost Estimate'!$G$16+WaterQualMitigationMonitoring!$B$6+'USDA Low Interest Loan'!$A$9</f>
        <v>323096598.46324706</v>
      </c>
      <c r="AK37" s="47">
        <f>'Construction Bonds'!$C$22+'O&amp;M Cost Estimate'!$G$16+WaterQualMitigationMonitoring!$B$6+'USDA Low Interest Loan'!$A$9</f>
        <v>323096598.46324706</v>
      </c>
      <c r="AL37" s="47">
        <f>'Construction Bonds'!$C$22+'O&amp;M Cost Estimate'!$G$16+WaterQualMitigationMonitoring!$B$6+'USDA Low Interest Loan'!$A$9</f>
        <v>323096598.46324706</v>
      </c>
      <c r="AM37" s="47">
        <f>'Construction Bonds'!$C$22+'O&amp;M Cost Estimate'!$G$16+WaterQualMitigationMonitoring!$B$6+'USDA Low Interest Loan'!$A$9</f>
        <v>323096598.46324706</v>
      </c>
      <c r="AN37" s="47">
        <f>'Construction Bonds'!$C$22+'O&amp;M Cost Estimate'!$G$16+WaterQualMitigationMonitoring!$B$6+'USDA Low Interest Loan'!$A$9</f>
        <v>323096598.46324706</v>
      </c>
      <c r="AO37" s="47">
        <f>'Construction Bonds'!$C$22+'O&amp;M Cost Estimate'!$G$16+WaterQualMitigationMonitoring!$B$6+'USDA Low Interest Loan'!$A$9</f>
        <v>323096598.46324706</v>
      </c>
      <c r="AP37" s="47">
        <f>'Construction Bonds'!$C$22+'O&amp;M Cost Estimate'!$G$16+WaterQualMitigationMonitoring!$B$6+'USDA Low Interest Loan'!$A$9</f>
        <v>323096598.46324706</v>
      </c>
      <c r="AQ37" s="47">
        <f>'Construction Bonds'!$C$22+'O&amp;M Cost Estimate'!$G$16+WaterQualMitigationMonitoring!$B$6+'USDA Low Interest Loan'!$A$9</f>
        <v>323096598.46324706</v>
      </c>
      <c r="AR37" s="47">
        <f>'Construction Bonds'!$C$22+'O&amp;M Cost Estimate'!$G$16+WaterQualMitigationMonitoring!$B$6+'USDA Low Interest Loan'!$A$9</f>
        <v>323096598.46324706</v>
      </c>
      <c r="AS37" s="47">
        <f>'Construction Bonds'!$C$22+'O&amp;M Cost Estimate'!$G$16+WaterQualMitigationMonitoring!$B$6+'USDA Low Interest Loan'!$A$9</f>
        <v>323096598.46324706</v>
      </c>
      <c r="AT37" s="47">
        <f>'Construction Bonds'!$C$22+'O&amp;M Cost Estimate'!$G$16+WaterQualMitigationMonitoring!$B$6+'USDA Low Interest Loan'!$A$9</f>
        <v>323096598.46324706</v>
      </c>
      <c r="AU37" s="47">
        <f>'Construction Bonds'!$C$22+'O&amp;M Cost Estimate'!$G$16+WaterQualMitigationMonitoring!$B$6+'USDA Low Interest Loan'!$A$9</f>
        <v>323096598.46324706</v>
      </c>
      <c r="AV37" s="47">
        <f>'Construction Bonds'!$C$22+'O&amp;M Cost Estimate'!$G$16+WaterQualMitigationMonitoring!$B$6+'USDA Low Interest Loan'!$A$9</f>
        <v>323096598.46324706</v>
      </c>
      <c r="AW37" s="47">
        <f>'Construction Bonds'!$C$22+'O&amp;M Cost Estimate'!$G$16+WaterQualMitigationMonitoring!$B$6</f>
        <v>280243658.66324705</v>
      </c>
      <c r="AX37" s="47">
        <f>'Construction Bonds'!$C$22+'O&amp;M Cost Estimate'!$G$16+WaterQualMitigationMonitoring!$B$6</f>
        <v>280243658.66324705</v>
      </c>
      <c r="AY37" s="47">
        <f>'Construction Bonds'!$C$22+'O&amp;M Cost Estimate'!$G$16+WaterQualMitigationMonitoring!$B$6</f>
        <v>280243658.66324705</v>
      </c>
      <c r="AZ37" s="47">
        <f>'Construction Bonds'!$C$22+'O&amp;M Cost Estimate'!$G$16+WaterQualMitigationMonitoring!$B$6</f>
        <v>280243658.66324705</v>
      </c>
      <c r="BA37" s="47">
        <f>'Construction Bonds'!$C$22+'O&amp;M Cost Estimate'!$G$16+WaterQualMitigationMonitoring!$B$6</f>
        <v>280243658.66324705</v>
      </c>
      <c r="BB37" s="47">
        <f>'Construction Bonds'!$C$22+'O&amp;M Cost Estimate'!$G$16+WaterQualMitigationMonitoring!$B$6</f>
        <v>280243658.66324705</v>
      </c>
      <c r="BC37" s="47">
        <f>'Construction Bonds'!$C$22+'O&amp;M Cost Estimate'!$G$16+WaterQualMitigationMonitoring!$B$6</f>
        <v>280243658.66324705</v>
      </c>
      <c r="BD37" s="47">
        <f>'Construction Bonds'!$C$22+'O&amp;M Cost Estimate'!$G$16+WaterQualMitigationMonitoring!$B$6</f>
        <v>280243658.66324705</v>
      </c>
      <c r="BE37" s="47">
        <f>'Construction Bonds'!$C$22+'O&amp;M Cost Estimate'!$G$16+WaterQualMitigationMonitoring!$B$6</f>
        <v>280243658.66324705</v>
      </c>
      <c r="BF37" s="47">
        <f>'Construction Bonds'!$C$22+'O&amp;M Cost Estimate'!$G$16+WaterQualMitigationMonitoring!$B$6</f>
        <v>280243658.66324705</v>
      </c>
      <c r="BG37" s="47">
        <f>'Construction Bonds'!$C$22+'O&amp;M Cost Estimate'!$G$16+WaterQualMitigationMonitoring!$B$6</f>
        <v>280243658.66324705</v>
      </c>
      <c r="BH37" s="47">
        <f>'O&amp;M Cost Estimate'!$G$16+WaterQualMitigationMonitoring!$B$6</f>
        <v>7515463.9175257739</v>
      </c>
      <c r="BI37" s="47">
        <f>'O&amp;M Cost Estimate'!$G$16+WaterQualMitigationMonitoring!$B$6</f>
        <v>7515463.9175257739</v>
      </c>
      <c r="BJ37" s="47">
        <f>'O&amp;M Cost Estimate'!$G$16+WaterQualMitigationMonitoring!$B$6</f>
        <v>7515463.9175257739</v>
      </c>
      <c r="BK37" s="47">
        <f>'O&amp;M Cost Estimate'!$G$16+WaterQualMitigationMonitoring!$B$6</f>
        <v>7515463.9175257739</v>
      </c>
      <c r="BL37" s="47">
        <f>'O&amp;M Cost Estimate'!$G$16+WaterQualMitigationMonitoring!$B$6</f>
        <v>7515463.9175257739</v>
      </c>
      <c r="BM37" s="47">
        <f>'O&amp;M Cost Estimate'!$G$16+WaterQualMitigationMonitoring!$B$6</f>
        <v>7515463.9175257739</v>
      </c>
      <c r="BN37" s="47">
        <f>'O&amp;M Cost Estimate'!$G$16+WaterQualMitigationMonitoring!$B$6</f>
        <v>7515463.9175257739</v>
      </c>
      <c r="BO37" s="47">
        <f>'O&amp;M Cost Estimate'!$G$16+WaterQualMitigationMonitoring!$B$6</f>
        <v>7515463.9175257739</v>
      </c>
      <c r="BP37" s="47">
        <f>'O&amp;M Cost Estimate'!$G$16+WaterQualMitigationMonitoring!$B$6</f>
        <v>7515463.9175257739</v>
      </c>
      <c r="BQ37" s="47">
        <f>'O&amp;M Cost Estimate'!$G$16+WaterQualMitigationMonitoring!$B$6</f>
        <v>7515463.9175257739</v>
      </c>
      <c r="BR37" s="47">
        <f>'O&amp;M Cost Estimate'!$G$16+WaterQualMitigationMonitoring!$B$6</f>
        <v>7515463.9175257739</v>
      </c>
      <c r="BS37" s="47">
        <f>'O&amp;M Cost Estimate'!$G$16+WaterQualMitigationMonitoring!$B$6</f>
        <v>7515463.9175257739</v>
      </c>
      <c r="BT37" s="47">
        <f>'O&amp;M Cost Estimate'!$G$16+WaterQualMitigationMonitoring!$B$6</f>
        <v>7515463.9175257739</v>
      </c>
      <c r="BU37" s="47">
        <f>'O&amp;M Cost Estimate'!$G$16+WaterQualMitigationMonitoring!$B$6</f>
        <v>7515463.9175257739</v>
      </c>
      <c r="BV37" s="47">
        <f>'O&amp;M Cost Estimate'!$G$16+WaterQualMitigationMonitoring!$B$6</f>
        <v>7515463.9175257739</v>
      </c>
      <c r="BW37" s="47">
        <f>'O&amp;M Cost Estimate'!$G$16+WaterQualMitigationMonitoring!$B$6</f>
        <v>7515463.9175257739</v>
      </c>
      <c r="BX37" s="47">
        <f>'O&amp;M Cost Estimate'!$G$16+WaterQualMitigationMonitoring!$B$6</f>
        <v>7515463.9175257739</v>
      </c>
      <c r="BY37" s="47">
        <f>'O&amp;M Cost Estimate'!$G$16+WaterQualMitigationMonitoring!$B$6</f>
        <v>7515463.9175257739</v>
      </c>
      <c r="BZ37" s="47">
        <f>'O&amp;M Cost Estimate'!$G$16+WaterQualMitigationMonitoring!$B$6</f>
        <v>7515463.9175257739</v>
      </c>
      <c r="CA37" s="47">
        <f>'O&amp;M Cost Estimate'!$G$16+WaterQualMitigationMonitoring!$B$6</f>
        <v>7515463.9175257739</v>
      </c>
      <c r="CB37" s="47">
        <f>'O&amp;M Cost Estimate'!$G$16+WaterQualMitigationMonitoring!$B$6</f>
        <v>7515463.9175257739</v>
      </c>
      <c r="CC37" s="47">
        <f>'O&amp;M Cost Estimate'!$G$16+WaterQualMitigationMonitoring!$B$6</f>
        <v>7515463.9175257739</v>
      </c>
      <c r="CD37" s="47">
        <f>'O&amp;M Cost Estimate'!$G$16+WaterQualMitigationMonitoring!$B$6</f>
        <v>7515463.9175257739</v>
      </c>
      <c r="CE37" s="47">
        <f>'O&amp;M Cost Estimate'!$G$16+WaterQualMitigationMonitoring!$B$6</f>
        <v>7515463.9175257739</v>
      </c>
      <c r="CF37" s="47">
        <f>'O&amp;M Cost Estimate'!$G$16+WaterQualMitigationMonitoring!$B$6</f>
        <v>7515463.9175257739</v>
      </c>
      <c r="CG37" s="47">
        <f>'O&amp;M Cost Estimate'!$G$16+WaterQualMitigationMonitoring!$B$6</f>
        <v>7515463.9175257739</v>
      </c>
      <c r="CH37" s="47">
        <f>'O&amp;M Cost Estimate'!$G$16+WaterQualMitigationMonitoring!$B$6</f>
        <v>7515463.9175257739</v>
      </c>
      <c r="CI37" s="47">
        <f>'O&amp;M Cost Estimate'!$G$16+WaterQualMitigationMonitoring!$B$6</f>
        <v>7515463.9175257739</v>
      </c>
      <c r="CJ37" s="47">
        <f>'O&amp;M Cost Estimate'!$G$16+WaterQualMitigationMonitoring!$B$6</f>
        <v>7515463.9175257739</v>
      </c>
      <c r="CK37" s="47">
        <f>'O&amp;M Cost Estimate'!$G$16+WaterQualMitigationMonitoring!$B$6</f>
        <v>7515463.9175257739</v>
      </c>
      <c r="CL37" s="47">
        <f>'O&amp;M Cost Estimate'!$G$16+WaterQualMitigationMonitoring!$B$6</f>
        <v>7515463.9175257739</v>
      </c>
      <c r="CM37" s="47">
        <f>'O&amp;M Cost Estimate'!$G$16+WaterQualMitigationMonitoring!$B$6</f>
        <v>7515463.9175257739</v>
      </c>
      <c r="CN37" s="47">
        <f>'O&amp;M Cost Estimate'!$G$16+WaterQualMitigationMonitoring!$B$6</f>
        <v>7515463.9175257739</v>
      </c>
      <c r="CO37" s="47">
        <f>'O&amp;M Cost Estimate'!$G$16+WaterQualMitigationMonitoring!$B$6</f>
        <v>7515463.9175257739</v>
      </c>
      <c r="CP37" s="47">
        <f>'O&amp;M Cost Estimate'!$G$16+WaterQualMitigationMonitoring!$B$6</f>
        <v>7515463.9175257739</v>
      </c>
      <c r="CQ37" s="47">
        <f>'O&amp;M Cost Estimate'!$G$16+WaterQualMitigationMonitoring!$B$6</f>
        <v>7515463.9175257739</v>
      </c>
      <c r="CR37" s="47">
        <f>'O&amp;M Cost Estimate'!$G$16+WaterQualMitigationMonitoring!$B$6</f>
        <v>7515463.9175257739</v>
      </c>
      <c r="CS37" s="47">
        <f>'O&amp;M Cost Estimate'!$G$16+WaterQualMitigationMonitoring!$B$6</f>
        <v>7515463.9175257739</v>
      </c>
      <c r="CT37" s="47">
        <f>'O&amp;M Cost Estimate'!$G$16+WaterQualMitigationMonitoring!$B$6</f>
        <v>7515463.9175257739</v>
      </c>
      <c r="CU37" s="47">
        <f>'O&amp;M Cost Estimate'!$G$16+WaterQualMitigationMonitoring!$B$6</f>
        <v>7515463.9175257739</v>
      </c>
      <c r="CV37" s="47">
        <f>'O&amp;M Cost Estimate'!$G$16+WaterQualMitigationMonitoring!$B$6</f>
        <v>7515463.9175257739</v>
      </c>
      <c r="CW37" s="47">
        <f>'O&amp;M Cost Estimate'!$G$16+WaterQualMitigationMonitoring!$B$6</f>
        <v>7515463.9175257739</v>
      </c>
      <c r="CX37" s="47">
        <f>'O&amp;M Cost Estimate'!$G$16+WaterQualMitigationMonitoring!$B$6</f>
        <v>7515463.9175257739</v>
      </c>
      <c r="CY37" s="47">
        <f>'O&amp;M Cost Estimate'!$G$16+WaterQualMitigationMonitoring!$B$6</f>
        <v>7515463.9175257739</v>
      </c>
      <c r="CZ37" s="47">
        <f>'O&amp;M Cost Estimate'!$G$16+WaterQualMitigationMonitoring!$B$6</f>
        <v>7515463.9175257739</v>
      </c>
      <c r="DA37" s="47">
        <f>'O&amp;M Cost Estimate'!$G$16+WaterQualMitigationMonitoring!$B$6</f>
        <v>7515463.9175257739</v>
      </c>
      <c r="DB37" s="47">
        <f>'O&amp;M Cost Estimate'!$G$16+WaterQualMitigationMonitoring!$B$6</f>
        <v>7515463.9175257739</v>
      </c>
      <c r="DC37" s="47">
        <f>'O&amp;M Cost Estimate'!$G$16+WaterQualMitigationMonitoring!$B$6</f>
        <v>7515463.9175257739</v>
      </c>
      <c r="DD37" s="47">
        <f>'O&amp;M Cost Estimate'!$G$16+WaterQualMitigationMonitoring!$B$6</f>
        <v>7515463.9175257739</v>
      </c>
      <c r="DE37" s="47">
        <f>'O&amp;M Cost Estimate'!$G$16+WaterQualMitigationMonitoring!$B$6</f>
        <v>7515463.9175257739</v>
      </c>
      <c r="DF37" s="47">
        <f>'O&amp;M Cost Estimate'!$G$16+WaterQualMitigationMonitoring!$B$6</f>
        <v>7515463.9175257739</v>
      </c>
      <c r="DG37" s="47">
        <f>'O&amp;M Cost Estimate'!$G$16+WaterQualMitigationMonitoring!$B$6</f>
        <v>7515463.9175257739</v>
      </c>
      <c r="DH37" s="47">
        <f>'O&amp;M Cost Estimate'!$G$16+WaterQualMitigationMonitoring!$B$6</f>
        <v>7515463.9175257739</v>
      </c>
      <c r="DI37" s="47">
        <f>'O&amp;M Cost Estimate'!$G$16+WaterQualMitigationMonitoring!$B$6</f>
        <v>7515463.9175257739</v>
      </c>
      <c r="DJ37" s="47">
        <f>'O&amp;M Cost Estimate'!$G$16+WaterQualMitigationMonitoring!$B$6</f>
        <v>7515463.9175257739</v>
      </c>
      <c r="DK37" s="47">
        <f>'O&amp;M Cost Estimate'!$G$16+WaterQualMitigationMonitoring!$B$6</f>
        <v>7515463.9175257739</v>
      </c>
    </row>
    <row r="40" spans="1:115">
      <c r="F40" s="36" t="s">
        <v>115</v>
      </c>
      <c r="H40" s="43">
        <f>H37/300000</f>
        <v>6.4410021895845038</v>
      </c>
      <c r="I40" s="43">
        <f t="shared" ref="I40:BQ40" si="33">I37/300000</f>
        <v>14.03249470967976</v>
      </c>
      <c r="J40" s="43">
        <f t="shared" si="33"/>
        <v>41.580807313707112</v>
      </c>
      <c r="K40" s="43">
        <f t="shared" si="33"/>
        <v>341.55171685414217</v>
      </c>
      <c r="L40" s="43">
        <f t="shared" si="33"/>
        <v>341.55171685414217</v>
      </c>
      <c r="M40" s="43">
        <f t="shared" si="33"/>
        <v>341.55171685414217</v>
      </c>
      <c r="N40" s="43">
        <f t="shared" si="33"/>
        <v>630.9472527222382</v>
      </c>
      <c r="O40" s="43">
        <f t="shared" si="33"/>
        <v>630.9472527222382</v>
      </c>
      <c r="P40" s="43">
        <f t="shared" si="33"/>
        <v>630.9472527222382</v>
      </c>
      <c r="Q40" s="43">
        <f t="shared" si="33"/>
        <v>726.86649252273969</v>
      </c>
      <c r="R40" s="43">
        <f t="shared" si="33"/>
        <v>726.86649252273969</v>
      </c>
      <c r="S40" s="43">
        <f t="shared" si="33"/>
        <v>894.76117158115903</v>
      </c>
      <c r="T40" s="43">
        <f t="shared" si="33"/>
        <v>1076.9886615441569</v>
      </c>
      <c r="U40" s="43">
        <f t="shared" si="33"/>
        <v>1076.9886615441569</v>
      </c>
      <c r="V40" s="43">
        <f t="shared" si="33"/>
        <v>1076.9886615441569</v>
      </c>
      <c r="W40" s="43">
        <f t="shared" si="33"/>
        <v>1076.9886615441569</v>
      </c>
      <c r="X40" s="43">
        <f t="shared" si="33"/>
        <v>1076.9886615441569</v>
      </c>
      <c r="Y40" s="43">
        <f t="shared" si="33"/>
        <v>1076.9886615441569</v>
      </c>
      <c r="Z40" s="43">
        <f t="shared" si="33"/>
        <v>1076.9886615441569</v>
      </c>
      <c r="AA40" s="43">
        <f t="shared" si="33"/>
        <v>1076.9886615441569</v>
      </c>
      <c r="AB40" s="43">
        <f t="shared" si="33"/>
        <v>1076.9886615441569</v>
      </c>
      <c r="AC40" s="43">
        <f t="shared" si="33"/>
        <v>1076.9886615441569</v>
      </c>
      <c r="AD40" s="43">
        <f t="shared" si="33"/>
        <v>1076.9886615441569</v>
      </c>
      <c r="AE40" s="43">
        <f t="shared" si="33"/>
        <v>1076.9886615441569</v>
      </c>
      <c r="AF40" s="43">
        <f t="shared" si="33"/>
        <v>1076.9886615441569</v>
      </c>
      <c r="AG40" s="43">
        <f t="shared" si="33"/>
        <v>1076.9886615441569</v>
      </c>
      <c r="AH40" s="43">
        <f t="shared" si="33"/>
        <v>1076.9886615441569</v>
      </c>
      <c r="AI40" s="43">
        <f t="shared" si="33"/>
        <v>1076.9886615441569</v>
      </c>
      <c r="AJ40" s="43">
        <f t="shared" si="33"/>
        <v>1076.9886615441569</v>
      </c>
      <c r="AK40" s="43">
        <f t="shared" si="33"/>
        <v>1076.9886615441569</v>
      </c>
      <c r="AL40" s="43">
        <f t="shared" si="33"/>
        <v>1076.9886615441569</v>
      </c>
      <c r="AM40" s="43">
        <f t="shared" si="33"/>
        <v>1076.9886615441569</v>
      </c>
      <c r="AN40" s="43">
        <f t="shared" si="33"/>
        <v>1076.9886615441569</v>
      </c>
      <c r="AO40" s="43">
        <f t="shared" si="33"/>
        <v>1076.9886615441569</v>
      </c>
      <c r="AP40" s="43">
        <f t="shared" si="33"/>
        <v>1076.9886615441569</v>
      </c>
      <c r="AQ40" s="43">
        <f t="shared" si="33"/>
        <v>1076.9886615441569</v>
      </c>
      <c r="AR40" s="43">
        <f t="shared" si="33"/>
        <v>1076.9886615441569</v>
      </c>
      <c r="AS40" s="43">
        <f t="shared" si="33"/>
        <v>1076.9886615441569</v>
      </c>
      <c r="AT40" s="43">
        <f t="shared" si="33"/>
        <v>1076.9886615441569</v>
      </c>
      <c r="AU40" s="43">
        <f t="shared" si="33"/>
        <v>1076.9886615441569</v>
      </c>
      <c r="AV40" s="43">
        <f t="shared" si="33"/>
        <v>1076.9886615441569</v>
      </c>
      <c r="AW40" s="43">
        <f t="shared" si="33"/>
        <v>934.14552887749016</v>
      </c>
      <c r="AX40" s="43">
        <f t="shared" si="33"/>
        <v>934.14552887749016</v>
      </c>
      <c r="AY40" s="43">
        <f t="shared" si="33"/>
        <v>934.14552887749016</v>
      </c>
      <c r="AZ40" s="43">
        <f t="shared" si="33"/>
        <v>934.14552887749016</v>
      </c>
      <c r="BA40" s="43">
        <f t="shared" si="33"/>
        <v>934.14552887749016</v>
      </c>
      <c r="BB40" s="43">
        <f t="shared" si="33"/>
        <v>934.14552887749016</v>
      </c>
      <c r="BC40" s="43">
        <f t="shared" si="33"/>
        <v>934.14552887749016</v>
      </c>
      <c r="BD40" s="43">
        <f t="shared" si="33"/>
        <v>934.14552887749016</v>
      </c>
      <c r="BE40" s="43">
        <f t="shared" si="33"/>
        <v>934.14552887749016</v>
      </c>
      <c r="BF40" s="43">
        <f t="shared" si="33"/>
        <v>934.14552887749016</v>
      </c>
      <c r="BG40" s="43">
        <f t="shared" si="33"/>
        <v>934.14552887749016</v>
      </c>
      <c r="BH40" s="43">
        <f t="shared" si="33"/>
        <v>25.051546391752581</v>
      </c>
      <c r="BI40" s="43">
        <f t="shared" si="33"/>
        <v>25.051546391752581</v>
      </c>
      <c r="BJ40" s="43">
        <f t="shared" si="33"/>
        <v>25.051546391752581</v>
      </c>
      <c r="BK40" s="43">
        <f t="shared" si="33"/>
        <v>25.051546391752581</v>
      </c>
      <c r="BL40" s="43">
        <f t="shared" si="33"/>
        <v>25.051546391752581</v>
      </c>
      <c r="BM40" s="43">
        <f t="shared" si="33"/>
        <v>25.051546391752581</v>
      </c>
      <c r="BN40" s="43">
        <f t="shared" si="33"/>
        <v>25.051546391752581</v>
      </c>
      <c r="BO40" s="43">
        <f t="shared" si="33"/>
        <v>25.051546391752581</v>
      </c>
      <c r="BP40" s="43">
        <f t="shared" si="33"/>
        <v>25.051546391752581</v>
      </c>
      <c r="BQ40" s="43">
        <f t="shared" si="33"/>
        <v>25.051546391752581</v>
      </c>
    </row>
    <row r="41" spans="1:115">
      <c r="F41" s="36" t="s">
        <v>116</v>
      </c>
      <c r="H41" s="43">
        <f>H37/260000</f>
        <v>7.4319256033667358</v>
      </c>
      <c r="I41" s="43">
        <f t="shared" ref="I41:BQ41" si="34">I37/260000</f>
        <v>16.191340049630494</v>
      </c>
      <c r="J41" s="43">
        <f t="shared" si="34"/>
        <v>47.977854592738971</v>
      </c>
      <c r="K41" s="43">
        <f t="shared" si="34"/>
        <v>394.09813483170245</v>
      </c>
      <c r="L41" s="43">
        <f t="shared" si="34"/>
        <v>394.09813483170245</v>
      </c>
      <c r="M41" s="43">
        <f t="shared" si="34"/>
        <v>394.09813483170245</v>
      </c>
      <c r="N41" s="43">
        <f t="shared" si="34"/>
        <v>728.01606083335173</v>
      </c>
      <c r="O41" s="43">
        <f t="shared" si="34"/>
        <v>728.01606083335173</v>
      </c>
      <c r="P41" s="43">
        <f t="shared" si="34"/>
        <v>728.01606083335173</v>
      </c>
      <c r="Q41" s="43">
        <f t="shared" si="34"/>
        <v>838.69210675700731</v>
      </c>
      <c r="R41" s="43">
        <f t="shared" si="34"/>
        <v>838.69210675700731</v>
      </c>
      <c r="S41" s="43">
        <f t="shared" si="34"/>
        <v>1032.4167364397988</v>
      </c>
      <c r="T41" s="43">
        <f t="shared" si="34"/>
        <v>1242.6792248586426</v>
      </c>
      <c r="U41" s="43">
        <f t="shared" si="34"/>
        <v>1242.6792248586426</v>
      </c>
      <c r="V41" s="43">
        <f t="shared" si="34"/>
        <v>1242.6792248586426</v>
      </c>
      <c r="W41" s="43">
        <f t="shared" si="34"/>
        <v>1242.6792248586426</v>
      </c>
      <c r="X41" s="43">
        <f t="shared" si="34"/>
        <v>1242.6792248586426</v>
      </c>
      <c r="Y41" s="43">
        <f t="shared" si="34"/>
        <v>1242.6792248586426</v>
      </c>
      <c r="Z41" s="43">
        <f t="shared" si="34"/>
        <v>1242.6792248586426</v>
      </c>
      <c r="AA41" s="43">
        <f t="shared" si="34"/>
        <v>1242.6792248586426</v>
      </c>
      <c r="AB41" s="43">
        <f t="shared" si="34"/>
        <v>1242.6792248586426</v>
      </c>
      <c r="AC41" s="43">
        <f t="shared" si="34"/>
        <v>1242.6792248586426</v>
      </c>
      <c r="AD41" s="43">
        <f t="shared" si="34"/>
        <v>1242.6792248586426</v>
      </c>
      <c r="AE41" s="43">
        <f t="shared" si="34"/>
        <v>1242.6792248586426</v>
      </c>
      <c r="AF41" s="43">
        <f t="shared" si="34"/>
        <v>1242.6792248586426</v>
      </c>
      <c r="AG41" s="43">
        <f t="shared" si="34"/>
        <v>1242.6792248586426</v>
      </c>
      <c r="AH41" s="43">
        <f t="shared" si="34"/>
        <v>1242.6792248586426</v>
      </c>
      <c r="AI41" s="43">
        <f t="shared" si="34"/>
        <v>1242.6792248586426</v>
      </c>
      <c r="AJ41" s="43">
        <f t="shared" si="34"/>
        <v>1242.6792248586426</v>
      </c>
      <c r="AK41" s="43">
        <f t="shared" si="34"/>
        <v>1242.6792248586426</v>
      </c>
      <c r="AL41" s="43">
        <f t="shared" si="34"/>
        <v>1242.6792248586426</v>
      </c>
      <c r="AM41" s="43">
        <f t="shared" si="34"/>
        <v>1242.6792248586426</v>
      </c>
      <c r="AN41" s="43">
        <f t="shared" si="34"/>
        <v>1242.6792248586426</v>
      </c>
      <c r="AO41" s="43">
        <f t="shared" si="34"/>
        <v>1242.6792248586426</v>
      </c>
      <c r="AP41" s="43">
        <f t="shared" si="34"/>
        <v>1242.6792248586426</v>
      </c>
      <c r="AQ41" s="43">
        <f t="shared" si="34"/>
        <v>1242.6792248586426</v>
      </c>
      <c r="AR41" s="43">
        <f t="shared" si="34"/>
        <v>1242.6792248586426</v>
      </c>
      <c r="AS41" s="43">
        <f t="shared" si="34"/>
        <v>1242.6792248586426</v>
      </c>
      <c r="AT41" s="43">
        <f t="shared" si="34"/>
        <v>1242.6792248586426</v>
      </c>
      <c r="AU41" s="43">
        <f t="shared" si="34"/>
        <v>1242.6792248586426</v>
      </c>
      <c r="AV41" s="43">
        <f t="shared" si="34"/>
        <v>1242.6792248586426</v>
      </c>
      <c r="AW41" s="43">
        <f t="shared" si="34"/>
        <v>1077.8602256278732</v>
      </c>
      <c r="AX41" s="43">
        <f t="shared" si="34"/>
        <v>1077.8602256278732</v>
      </c>
      <c r="AY41" s="43">
        <f t="shared" si="34"/>
        <v>1077.8602256278732</v>
      </c>
      <c r="AZ41" s="43">
        <f t="shared" si="34"/>
        <v>1077.8602256278732</v>
      </c>
      <c r="BA41" s="43">
        <f t="shared" si="34"/>
        <v>1077.8602256278732</v>
      </c>
      <c r="BB41" s="43">
        <f t="shared" si="34"/>
        <v>1077.8602256278732</v>
      </c>
      <c r="BC41" s="43">
        <f t="shared" si="34"/>
        <v>1077.8602256278732</v>
      </c>
      <c r="BD41" s="43">
        <f t="shared" si="34"/>
        <v>1077.8602256278732</v>
      </c>
      <c r="BE41" s="43">
        <f t="shared" si="34"/>
        <v>1077.8602256278732</v>
      </c>
      <c r="BF41" s="43">
        <f t="shared" si="34"/>
        <v>1077.8602256278732</v>
      </c>
      <c r="BG41" s="43">
        <f t="shared" si="34"/>
        <v>1077.8602256278732</v>
      </c>
      <c r="BH41" s="43">
        <f t="shared" si="34"/>
        <v>28.905630452022208</v>
      </c>
      <c r="BI41" s="43">
        <f t="shared" si="34"/>
        <v>28.905630452022208</v>
      </c>
      <c r="BJ41" s="43">
        <f t="shared" si="34"/>
        <v>28.905630452022208</v>
      </c>
      <c r="BK41" s="43">
        <f t="shared" si="34"/>
        <v>28.905630452022208</v>
      </c>
      <c r="BL41" s="43">
        <f t="shared" si="34"/>
        <v>28.905630452022208</v>
      </c>
      <c r="BM41" s="43">
        <f t="shared" si="34"/>
        <v>28.905630452022208</v>
      </c>
      <c r="BN41" s="43">
        <f t="shared" si="34"/>
        <v>28.905630452022208</v>
      </c>
      <c r="BO41" s="43">
        <f t="shared" si="34"/>
        <v>28.905630452022208</v>
      </c>
      <c r="BP41" s="43">
        <f t="shared" si="34"/>
        <v>28.905630452022208</v>
      </c>
      <c r="BQ41" s="43">
        <f t="shared" si="34"/>
        <v>28.905630452022208</v>
      </c>
    </row>
    <row r="42" spans="1:115">
      <c r="F42" s="36" t="s">
        <v>117</v>
      </c>
      <c r="H42" s="43">
        <f>H37/240000</f>
        <v>8.0512527369806293</v>
      </c>
      <c r="I42" s="43">
        <f t="shared" ref="I42:BQ42" si="35">I37/240000</f>
        <v>17.540618387099702</v>
      </c>
      <c r="J42" s="43">
        <f t="shared" si="35"/>
        <v>51.97600914213389</v>
      </c>
      <c r="K42" s="43">
        <f t="shared" si="35"/>
        <v>426.9396460676777</v>
      </c>
      <c r="L42" s="43">
        <f t="shared" si="35"/>
        <v>426.9396460676777</v>
      </c>
      <c r="M42" s="43">
        <f t="shared" si="35"/>
        <v>426.9396460676777</v>
      </c>
      <c r="N42" s="43">
        <f t="shared" si="35"/>
        <v>788.68406590279778</v>
      </c>
      <c r="O42" s="43">
        <f t="shared" si="35"/>
        <v>788.68406590279778</v>
      </c>
      <c r="P42" s="43">
        <f t="shared" si="35"/>
        <v>788.68406590279778</v>
      </c>
      <c r="Q42" s="43">
        <f t="shared" si="35"/>
        <v>908.58311565342456</v>
      </c>
      <c r="R42" s="43">
        <f t="shared" si="35"/>
        <v>908.58311565342456</v>
      </c>
      <c r="S42" s="43">
        <f t="shared" si="35"/>
        <v>1118.4514644764488</v>
      </c>
      <c r="T42" s="43">
        <f t="shared" si="35"/>
        <v>1346.235826930196</v>
      </c>
      <c r="U42" s="43">
        <f t="shared" si="35"/>
        <v>1346.235826930196</v>
      </c>
      <c r="V42" s="43">
        <f t="shared" si="35"/>
        <v>1346.235826930196</v>
      </c>
      <c r="W42" s="43">
        <f t="shared" si="35"/>
        <v>1346.235826930196</v>
      </c>
      <c r="X42" s="43">
        <f t="shared" si="35"/>
        <v>1346.235826930196</v>
      </c>
      <c r="Y42" s="43">
        <f t="shared" si="35"/>
        <v>1346.235826930196</v>
      </c>
      <c r="Z42" s="43">
        <f t="shared" si="35"/>
        <v>1346.235826930196</v>
      </c>
      <c r="AA42" s="43">
        <f t="shared" si="35"/>
        <v>1346.235826930196</v>
      </c>
      <c r="AB42" s="43">
        <f t="shared" si="35"/>
        <v>1346.235826930196</v>
      </c>
      <c r="AC42" s="43">
        <f t="shared" si="35"/>
        <v>1346.235826930196</v>
      </c>
      <c r="AD42" s="43">
        <f t="shared" si="35"/>
        <v>1346.235826930196</v>
      </c>
      <c r="AE42" s="43">
        <f t="shared" si="35"/>
        <v>1346.235826930196</v>
      </c>
      <c r="AF42" s="43">
        <f t="shared" si="35"/>
        <v>1346.235826930196</v>
      </c>
      <c r="AG42" s="43">
        <f t="shared" si="35"/>
        <v>1346.235826930196</v>
      </c>
      <c r="AH42" s="43">
        <f t="shared" si="35"/>
        <v>1346.235826930196</v>
      </c>
      <c r="AI42" s="43">
        <f t="shared" si="35"/>
        <v>1346.235826930196</v>
      </c>
      <c r="AJ42" s="43">
        <f t="shared" si="35"/>
        <v>1346.235826930196</v>
      </c>
      <c r="AK42" s="43">
        <f t="shared" si="35"/>
        <v>1346.235826930196</v>
      </c>
      <c r="AL42" s="43">
        <f t="shared" si="35"/>
        <v>1346.235826930196</v>
      </c>
      <c r="AM42" s="43">
        <f t="shared" si="35"/>
        <v>1346.235826930196</v>
      </c>
      <c r="AN42" s="43">
        <f t="shared" si="35"/>
        <v>1346.235826930196</v>
      </c>
      <c r="AO42" s="43">
        <f t="shared" si="35"/>
        <v>1346.235826930196</v>
      </c>
      <c r="AP42" s="43">
        <f t="shared" si="35"/>
        <v>1346.235826930196</v>
      </c>
      <c r="AQ42" s="43">
        <f t="shared" si="35"/>
        <v>1346.235826930196</v>
      </c>
      <c r="AR42" s="43">
        <f t="shared" si="35"/>
        <v>1346.235826930196</v>
      </c>
      <c r="AS42" s="43">
        <f t="shared" si="35"/>
        <v>1346.235826930196</v>
      </c>
      <c r="AT42" s="43">
        <f t="shared" si="35"/>
        <v>1346.235826930196</v>
      </c>
      <c r="AU42" s="43">
        <f t="shared" si="35"/>
        <v>1346.235826930196</v>
      </c>
      <c r="AV42" s="43">
        <f t="shared" si="35"/>
        <v>1346.235826930196</v>
      </c>
      <c r="AW42" s="43">
        <f t="shared" si="35"/>
        <v>1167.6819110968627</v>
      </c>
      <c r="AX42" s="43">
        <f t="shared" si="35"/>
        <v>1167.6819110968627</v>
      </c>
      <c r="AY42" s="43">
        <f t="shared" si="35"/>
        <v>1167.6819110968627</v>
      </c>
      <c r="AZ42" s="43">
        <f t="shared" si="35"/>
        <v>1167.6819110968627</v>
      </c>
      <c r="BA42" s="43">
        <f t="shared" si="35"/>
        <v>1167.6819110968627</v>
      </c>
      <c r="BB42" s="43">
        <f t="shared" si="35"/>
        <v>1167.6819110968627</v>
      </c>
      <c r="BC42" s="43">
        <f t="shared" si="35"/>
        <v>1167.6819110968627</v>
      </c>
      <c r="BD42" s="43">
        <f t="shared" si="35"/>
        <v>1167.6819110968627</v>
      </c>
      <c r="BE42" s="43">
        <f t="shared" si="35"/>
        <v>1167.6819110968627</v>
      </c>
      <c r="BF42" s="43">
        <f t="shared" si="35"/>
        <v>1167.6819110968627</v>
      </c>
      <c r="BG42" s="43">
        <f t="shared" si="35"/>
        <v>1167.6819110968627</v>
      </c>
      <c r="BH42" s="43">
        <f t="shared" si="35"/>
        <v>31.314432989690726</v>
      </c>
      <c r="BI42" s="43">
        <f t="shared" si="35"/>
        <v>31.314432989690726</v>
      </c>
      <c r="BJ42" s="43">
        <f t="shared" si="35"/>
        <v>31.314432989690726</v>
      </c>
      <c r="BK42" s="43">
        <f t="shared" si="35"/>
        <v>31.314432989690726</v>
      </c>
      <c r="BL42" s="43">
        <f t="shared" si="35"/>
        <v>31.314432989690726</v>
      </c>
      <c r="BM42" s="43">
        <f t="shared" si="35"/>
        <v>31.314432989690726</v>
      </c>
      <c r="BN42" s="43">
        <f t="shared" si="35"/>
        <v>31.314432989690726</v>
      </c>
      <c r="BO42" s="43">
        <f t="shared" si="35"/>
        <v>31.314432989690726</v>
      </c>
      <c r="BP42" s="43">
        <f t="shared" si="35"/>
        <v>31.314432989690726</v>
      </c>
      <c r="BQ42" s="43">
        <f t="shared" si="35"/>
        <v>31.314432989690726</v>
      </c>
    </row>
    <row r="43" spans="1:115">
      <c r="F43" s="36" t="s">
        <v>118</v>
      </c>
      <c r="H43" s="43">
        <f>H37/200000</f>
        <v>9.6615032843767565</v>
      </c>
      <c r="I43" s="43">
        <f t="shared" ref="I43:BQ43" si="36">I37/200000</f>
        <v>21.04874206451964</v>
      </c>
      <c r="J43" s="43">
        <f t="shared" si="36"/>
        <v>62.371210970560668</v>
      </c>
      <c r="K43" s="43">
        <f t="shared" si="36"/>
        <v>512.32757528121317</v>
      </c>
      <c r="L43" s="43">
        <f t="shared" si="36"/>
        <v>512.32757528121317</v>
      </c>
      <c r="M43" s="43">
        <f t="shared" si="36"/>
        <v>512.32757528121317</v>
      </c>
      <c r="N43" s="43">
        <f t="shared" si="36"/>
        <v>946.42087908335725</v>
      </c>
      <c r="O43" s="43">
        <f t="shared" si="36"/>
        <v>946.42087908335725</v>
      </c>
      <c r="P43" s="43">
        <f t="shared" si="36"/>
        <v>946.42087908335725</v>
      </c>
      <c r="Q43" s="43">
        <f t="shared" si="36"/>
        <v>1090.2997387841094</v>
      </c>
      <c r="R43" s="43">
        <f t="shared" si="36"/>
        <v>1090.2997387841094</v>
      </c>
      <c r="S43" s="43">
        <f t="shared" si="36"/>
        <v>1342.1417573717385</v>
      </c>
      <c r="T43" s="43">
        <f t="shared" si="36"/>
        <v>1615.4829923162354</v>
      </c>
      <c r="U43" s="43">
        <f t="shared" si="36"/>
        <v>1615.4829923162354</v>
      </c>
      <c r="V43" s="43">
        <f t="shared" si="36"/>
        <v>1615.4829923162354</v>
      </c>
      <c r="W43" s="43">
        <f t="shared" si="36"/>
        <v>1615.4829923162354</v>
      </c>
      <c r="X43" s="43">
        <f t="shared" si="36"/>
        <v>1615.4829923162354</v>
      </c>
      <c r="Y43" s="43">
        <f t="shared" si="36"/>
        <v>1615.4829923162354</v>
      </c>
      <c r="Z43" s="43">
        <f t="shared" si="36"/>
        <v>1615.4829923162354</v>
      </c>
      <c r="AA43" s="43">
        <f t="shared" si="36"/>
        <v>1615.4829923162354</v>
      </c>
      <c r="AB43" s="43">
        <f t="shared" si="36"/>
        <v>1615.4829923162354</v>
      </c>
      <c r="AC43" s="43">
        <f t="shared" si="36"/>
        <v>1615.4829923162354</v>
      </c>
      <c r="AD43" s="43">
        <f t="shared" si="36"/>
        <v>1615.4829923162354</v>
      </c>
      <c r="AE43" s="43">
        <f t="shared" si="36"/>
        <v>1615.4829923162354</v>
      </c>
      <c r="AF43" s="43">
        <f t="shared" si="36"/>
        <v>1615.4829923162354</v>
      </c>
      <c r="AG43" s="43">
        <f t="shared" si="36"/>
        <v>1615.4829923162354</v>
      </c>
      <c r="AH43" s="43">
        <f t="shared" si="36"/>
        <v>1615.4829923162354</v>
      </c>
      <c r="AI43" s="43">
        <f t="shared" si="36"/>
        <v>1615.4829923162354</v>
      </c>
      <c r="AJ43" s="43">
        <f t="shared" si="36"/>
        <v>1615.4829923162354</v>
      </c>
      <c r="AK43" s="43">
        <f t="shared" si="36"/>
        <v>1615.4829923162354</v>
      </c>
      <c r="AL43" s="43">
        <f t="shared" si="36"/>
        <v>1615.4829923162354</v>
      </c>
      <c r="AM43" s="43">
        <f t="shared" si="36"/>
        <v>1615.4829923162354</v>
      </c>
      <c r="AN43" s="43">
        <f t="shared" si="36"/>
        <v>1615.4829923162354</v>
      </c>
      <c r="AO43" s="43">
        <f t="shared" si="36"/>
        <v>1615.4829923162354</v>
      </c>
      <c r="AP43" s="43">
        <f t="shared" si="36"/>
        <v>1615.4829923162354</v>
      </c>
      <c r="AQ43" s="43">
        <f t="shared" si="36"/>
        <v>1615.4829923162354</v>
      </c>
      <c r="AR43" s="43">
        <f t="shared" si="36"/>
        <v>1615.4829923162354</v>
      </c>
      <c r="AS43" s="43">
        <f t="shared" si="36"/>
        <v>1615.4829923162354</v>
      </c>
      <c r="AT43" s="43">
        <f t="shared" si="36"/>
        <v>1615.4829923162354</v>
      </c>
      <c r="AU43" s="43">
        <f t="shared" si="36"/>
        <v>1615.4829923162354</v>
      </c>
      <c r="AV43" s="43">
        <f t="shared" si="36"/>
        <v>1615.4829923162354</v>
      </c>
      <c r="AW43" s="43">
        <f t="shared" si="36"/>
        <v>1401.2182933162353</v>
      </c>
      <c r="AX43" s="43">
        <f t="shared" si="36"/>
        <v>1401.2182933162353</v>
      </c>
      <c r="AY43" s="43">
        <f t="shared" si="36"/>
        <v>1401.2182933162353</v>
      </c>
      <c r="AZ43" s="43">
        <f t="shared" si="36"/>
        <v>1401.2182933162353</v>
      </c>
      <c r="BA43" s="43">
        <f t="shared" si="36"/>
        <v>1401.2182933162353</v>
      </c>
      <c r="BB43" s="43">
        <f t="shared" si="36"/>
        <v>1401.2182933162353</v>
      </c>
      <c r="BC43" s="43">
        <f t="shared" si="36"/>
        <v>1401.2182933162353</v>
      </c>
      <c r="BD43" s="43">
        <f t="shared" si="36"/>
        <v>1401.2182933162353</v>
      </c>
      <c r="BE43" s="43">
        <f t="shared" si="36"/>
        <v>1401.2182933162353</v>
      </c>
      <c r="BF43" s="43">
        <f t="shared" si="36"/>
        <v>1401.2182933162353</v>
      </c>
      <c r="BG43" s="43">
        <f t="shared" si="36"/>
        <v>1401.2182933162353</v>
      </c>
      <c r="BH43" s="43">
        <f t="shared" si="36"/>
        <v>37.577319587628871</v>
      </c>
      <c r="BI43" s="43">
        <f t="shared" si="36"/>
        <v>37.577319587628871</v>
      </c>
      <c r="BJ43" s="43">
        <f t="shared" si="36"/>
        <v>37.577319587628871</v>
      </c>
      <c r="BK43" s="43">
        <f t="shared" si="36"/>
        <v>37.577319587628871</v>
      </c>
      <c r="BL43" s="43">
        <f t="shared" si="36"/>
        <v>37.577319587628871</v>
      </c>
      <c r="BM43" s="43">
        <f t="shared" si="36"/>
        <v>37.577319587628871</v>
      </c>
      <c r="BN43" s="43">
        <f t="shared" si="36"/>
        <v>37.577319587628871</v>
      </c>
      <c r="BO43" s="43">
        <f t="shared" si="36"/>
        <v>37.577319587628871</v>
      </c>
      <c r="BP43" s="43">
        <f t="shared" si="36"/>
        <v>37.577319587628871</v>
      </c>
      <c r="BQ43" s="43">
        <f t="shared" si="36"/>
        <v>37.577319587628871</v>
      </c>
    </row>
  </sheetData>
  <mergeCells count="1">
    <mergeCell ref="H1:L1"/>
  </mergeCells>
  <pageMargins left="0.25" right="0.25" top="0.75" bottom="0.75" header="0.3" footer="0.3"/>
  <pageSetup paperSize="1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C8" sqref="C8"/>
    </sheetView>
  </sheetViews>
  <sheetFormatPr defaultColWidth="9.140625" defaultRowHeight="15"/>
  <cols>
    <col min="1" max="1" width="18.42578125" style="45" customWidth="1"/>
    <col min="2" max="2" width="20.140625" style="20" customWidth="1"/>
    <col min="3" max="3" width="28.140625" style="45" customWidth="1"/>
    <col min="4" max="4" width="28" style="45" customWidth="1"/>
    <col min="5" max="5" width="14.7109375" style="45" bestFit="1" customWidth="1"/>
    <col min="6" max="16384" width="9.140625" style="45"/>
  </cols>
  <sheetData>
    <row r="1" spans="1:5">
      <c r="A1" s="237" t="s">
        <v>207</v>
      </c>
      <c r="B1" s="237"/>
      <c r="C1" s="237"/>
      <c r="D1" s="237"/>
    </row>
    <row r="2" spans="1:5">
      <c r="C2" s="45" t="s">
        <v>191</v>
      </c>
    </row>
    <row r="3" spans="1:5">
      <c r="A3" s="45" t="s">
        <v>6</v>
      </c>
      <c r="B3" s="20" t="s">
        <v>96</v>
      </c>
      <c r="C3" s="45" t="s">
        <v>97</v>
      </c>
      <c r="D3" s="45" t="s">
        <v>99</v>
      </c>
    </row>
    <row r="4" spans="1:5">
      <c r="A4" s="45">
        <v>2019</v>
      </c>
      <c r="B4" s="20">
        <f>'ProForma View 80CL'!B20</f>
        <v>77292026.275014043</v>
      </c>
      <c r="C4" s="20">
        <f>B4*0.025</f>
        <v>1932300.6568753512</v>
      </c>
      <c r="D4" s="20"/>
      <c r="E4" s="20"/>
    </row>
    <row r="5" spans="1:5">
      <c r="A5" s="45">
        <v>2020</v>
      </c>
      <c r="B5" s="20">
        <f>'ProForma View 80CL'!C20</f>
        <v>91097910.241143063</v>
      </c>
      <c r="C5" s="20">
        <f>B5*0.025</f>
        <v>2277447.7560285768</v>
      </c>
      <c r="D5" s="20">
        <f>C5*2</f>
        <v>4554895.5120571535</v>
      </c>
    </row>
    <row r="6" spans="1:5">
      <c r="A6" s="45">
        <v>2021</v>
      </c>
      <c r="B6" s="20">
        <f>'ProForma View 80CL'!D20</f>
        <v>330579751.24832821</v>
      </c>
      <c r="C6" s="20">
        <f>B6*0.025</f>
        <v>8264493.781208206</v>
      </c>
      <c r="D6" s="20">
        <f>C6</f>
        <v>8264493.781208206</v>
      </c>
    </row>
    <row r="7" spans="1:5" s="74" customFormat="1">
      <c r="A7" s="74">
        <v>2022</v>
      </c>
      <c r="B7" s="20">
        <f>'ProForma View 80CL'!E20</f>
        <v>643017861.93237197</v>
      </c>
      <c r="C7" s="20">
        <f>B7*0.025</f>
        <v>16075446.5483093</v>
      </c>
      <c r="D7" s="20">
        <f>C7</f>
        <v>16075446.5483093</v>
      </c>
    </row>
    <row r="9" spans="1:5">
      <c r="A9" s="45" t="s">
        <v>98</v>
      </c>
      <c r="B9" s="20">
        <f>SUM(B4:B7)</f>
        <v>1141987549.6968572</v>
      </c>
      <c r="D9" s="20">
        <f>SUM(D4:D6)</f>
        <v>12819389.293265359</v>
      </c>
    </row>
    <row r="10" spans="1:5" ht="15" customHeight="1">
      <c r="A10" s="237" t="s">
        <v>110</v>
      </c>
      <c r="B10" s="237"/>
    </row>
    <row r="11" spans="1:5">
      <c r="A11" s="237"/>
      <c r="B11" s="237"/>
    </row>
    <row r="12" spans="1:5">
      <c r="A12" s="237"/>
      <c r="B12" s="237"/>
    </row>
    <row r="15" spans="1:5">
      <c r="A15" s="238" t="s">
        <v>208</v>
      </c>
      <c r="B15" s="238"/>
      <c r="C15" s="238"/>
      <c r="D15" s="238"/>
    </row>
    <row r="16" spans="1:5">
      <c r="A16" s="118"/>
      <c r="B16" s="125"/>
      <c r="C16" s="118" t="s">
        <v>191</v>
      </c>
      <c r="D16" s="118"/>
    </row>
    <row r="17" spans="1:4">
      <c r="A17" s="118" t="s">
        <v>6</v>
      </c>
      <c r="B17" s="125" t="s">
        <v>96</v>
      </c>
      <c r="C17" s="118" t="s">
        <v>97</v>
      </c>
      <c r="D17" s="118" t="s">
        <v>99</v>
      </c>
    </row>
    <row r="18" spans="1:4">
      <c r="A18" s="118">
        <v>2019</v>
      </c>
      <c r="B18" s="125">
        <f>'Pro Forma Worst Case'!B20</f>
        <v>81884576.275014043</v>
      </c>
      <c r="C18" s="125">
        <f>B18*0.025</f>
        <v>2047114.4068753512</v>
      </c>
      <c r="D18" s="125"/>
    </row>
    <row r="19" spans="1:4">
      <c r="A19" s="118">
        <v>2020</v>
      </c>
      <c r="B19" s="125">
        <f>'Pro Forma Worst Case'!C20</f>
        <v>91097910.241143063</v>
      </c>
      <c r="C19" s="125">
        <f>B19*0.025</f>
        <v>2277447.7560285768</v>
      </c>
      <c r="D19" s="125">
        <f>C19*2</f>
        <v>4554895.5120571535</v>
      </c>
    </row>
    <row r="20" spans="1:4">
      <c r="A20" s="118">
        <v>2021</v>
      </c>
      <c r="B20" s="125">
        <f>'Pro Forma Worst Case'!D20</f>
        <v>330579751.24832821</v>
      </c>
      <c r="C20" s="125">
        <f>B20*0.025</f>
        <v>8264493.781208206</v>
      </c>
      <c r="D20" s="125">
        <f>C20</f>
        <v>8264493.781208206</v>
      </c>
    </row>
    <row r="21" spans="1:4">
      <c r="A21" s="118">
        <v>2022</v>
      </c>
      <c r="B21" s="125">
        <f>'Pro Forma Worst Case'!E20</f>
        <v>690177597.31000316</v>
      </c>
      <c r="C21" s="125">
        <f>B21*0.025</f>
        <v>17254439.93275008</v>
      </c>
      <c r="D21" s="125">
        <f>C21</f>
        <v>17254439.93275008</v>
      </c>
    </row>
    <row r="22" spans="1:4">
      <c r="A22" s="118"/>
      <c r="B22" s="125"/>
      <c r="C22" s="118"/>
      <c r="D22" s="118"/>
    </row>
    <row r="23" spans="1:4">
      <c r="A23" s="118" t="s">
        <v>98</v>
      </c>
      <c r="B23" s="125">
        <f>SUM(B18:B21)</f>
        <v>1193739835.0744884</v>
      </c>
      <c r="C23" s="118"/>
      <c r="D23" s="125">
        <f>SUM(D18:D20)</f>
        <v>12819389.293265359</v>
      </c>
    </row>
    <row r="24" spans="1:4">
      <c r="A24" s="238" t="s">
        <v>110</v>
      </c>
      <c r="B24" s="238"/>
      <c r="C24" s="118"/>
      <c r="D24" s="118"/>
    </row>
    <row r="25" spans="1:4">
      <c r="A25" s="238"/>
      <c r="B25" s="238"/>
      <c r="C25" s="118"/>
      <c r="D25" s="118"/>
    </row>
    <row r="26" spans="1:4">
      <c r="A26" s="238"/>
      <c r="B26" s="238"/>
      <c r="C26" s="118"/>
      <c r="D26" s="118"/>
    </row>
    <row r="29" spans="1:4">
      <c r="A29" s="237" t="s">
        <v>209</v>
      </c>
      <c r="B29" s="237"/>
      <c r="C29" s="237"/>
      <c r="D29" s="237"/>
    </row>
    <row r="30" spans="1:4">
      <c r="A30" s="87"/>
      <c r="C30" s="87" t="s">
        <v>191</v>
      </c>
      <c r="D30" s="87"/>
    </row>
    <row r="31" spans="1:4">
      <c r="A31" s="87" t="s">
        <v>6</v>
      </c>
      <c r="B31" s="20" t="s">
        <v>96</v>
      </c>
      <c r="C31" s="87" t="s">
        <v>97</v>
      </c>
      <c r="D31" s="87" t="s">
        <v>99</v>
      </c>
    </row>
    <row r="32" spans="1:4">
      <c r="A32" s="87">
        <v>2019</v>
      </c>
      <c r="B32" s="20">
        <f>'Pro Forma Best Case'!B20</f>
        <v>106533974.9538008</v>
      </c>
      <c r="C32" s="20">
        <f>B32*0.025</f>
        <v>2663349.3738450203</v>
      </c>
      <c r="D32" s="20"/>
    </row>
    <row r="33" spans="1:4">
      <c r="A33" s="87">
        <v>2020</v>
      </c>
      <c r="B33" s="20">
        <f>'Pro Forma Best Case'!C20</f>
        <v>342500896.63726664</v>
      </c>
      <c r="C33" s="20">
        <f>B33*0.025</f>
        <v>8562522.4159316663</v>
      </c>
      <c r="D33" s="20">
        <f>C33*2</f>
        <v>17125044.831863333</v>
      </c>
    </row>
    <row r="34" spans="1:4">
      <c r="A34" s="87">
        <v>2021</v>
      </c>
      <c r="B34" s="20">
        <f>'Pro Forma Best Case'!D20</f>
        <v>711427207.78087664</v>
      </c>
      <c r="C34" s="20">
        <f>B34*0.025</f>
        <v>17785680.194521915</v>
      </c>
      <c r="D34" s="20">
        <f>C34</f>
        <v>17785680.194521915</v>
      </c>
    </row>
    <row r="35" spans="1:4">
      <c r="A35" s="87"/>
      <c r="C35" s="87"/>
      <c r="D35" s="87"/>
    </row>
    <row r="36" spans="1:4">
      <c r="A36" s="87" t="s">
        <v>98</v>
      </c>
      <c r="B36" s="20">
        <f>SUM(B32:B34)</f>
        <v>1160462079.371944</v>
      </c>
      <c r="C36" s="87"/>
      <c r="D36" s="20">
        <f>SUM(D32:D34)</f>
        <v>34910725.026385248</v>
      </c>
    </row>
    <row r="37" spans="1:4">
      <c r="A37" s="237" t="s">
        <v>110</v>
      </c>
      <c r="B37" s="237"/>
      <c r="C37" s="87"/>
      <c r="D37" s="87"/>
    </row>
    <row r="38" spans="1:4">
      <c r="A38" s="237"/>
      <c r="B38" s="237"/>
      <c r="C38" s="87"/>
      <c r="D38" s="87"/>
    </row>
    <row r="39" spans="1:4">
      <c r="A39" s="237"/>
      <c r="B39" s="237"/>
      <c r="C39" s="87"/>
      <c r="D39" s="87"/>
    </row>
  </sheetData>
  <mergeCells count="6">
    <mergeCell ref="A37:B39"/>
    <mergeCell ref="A10:B12"/>
    <mergeCell ref="A1:D1"/>
    <mergeCell ref="A15:D15"/>
    <mergeCell ref="A24:B26"/>
    <mergeCell ref="A29:D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87"/>
  <sheetViews>
    <sheetView topLeftCell="O80" workbookViewId="0">
      <selection activeCell="AB95" sqref="AB95"/>
    </sheetView>
  </sheetViews>
  <sheetFormatPr defaultRowHeight="15"/>
  <cols>
    <col min="1" max="13" width="9.140625" style="16"/>
    <col min="14" max="14" width="11" style="23" bestFit="1" customWidth="1"/>
    <col min="15" max="15" width="16.42578125" style="16" bestFit="1" customWidth="1"/>
    <col min="16" max="17" width="9.140625" style="16"/>
    <col min="18" max="18" width="16.5703125" style="16" customWidth="1"/>
    <col min="19" max="19" width="11.5703125" style="16" bestFit="1" customWidth="1"/>
    <col min="20" max="20" width="11.5703125" style="16" customWidth="1"/>
    <col min="21" max="22" width="10.28515625" style="16" bestFit="1" customWidth="1"/>
    <col min="23" max="23" width="16.28515625" style="16" bestFit="1" customWidth="1"/>
    <col min="24" max="24" width="16.7109375" style="16" bestFit="1" customWidth="1"/>
    <col min="25" max="27" width="9.140625" style="16"/>
    <col min="28" max="29" width="11.5703125" style="16" bestFit="1" customWidth="1"/>
    <col min="30" max="43" width="9.140625" style="16"/>
  </cols>
  <sheetData>
    <row r="1" spans="1:15" ht="15.75" thickBot="1">
      <c r="A1" s="16" t="s">
        <v>6</v>
      </c>
      <c r="B1" s="16" t="s">
        <v>7</v>
      </c>
      <c r="C1" s="16" t="s">
        <v>8</v>
      </c>
      <c r="D1" s="16" t="s">
        <v>9</v>
      </c>
      <c r="E1" s="16" t="s">
        <v>10</v>
      </c>
      <c r="F1" s="16" t="s">
        <v>11</v>
      </c>
      <c r="G1" s="16" t="s">
        <v>12</v>
      </c>
      <c r="H1" s="16" t="s">
        <v>13</v>
      </c>
      <c r="I1" s="16" t="s">
        <v>14</v>
      </c>
      <c r="J1" s="16" t="s">
        <v>15</v>
      </c>
      <c r="K1" s="16" t="s">
        <v>16</v>
      </c>
      <c r="L1" s="16" t="s">
        <v>17</v>
      </c>
      <c r="M1" s="16" t="s">
        <v>18</v>
      </c>
      <c r="N1" s="23" t="s">
        <v>19</v>
      </c>
      <c r="O1" s="16" t="s">
        <v>20</v>
      </c>
    </row>
    <row r="2" spans="1:15" ht="15.75" thickBot="1">
      <c r="A2" s="5">
        <v>1913</v>
      </c>
      <c r="B2" s="6">
        <v>9.8000000000000007</v>
      </c>
      <c r="C2" s="6">
        <v>9.8000000000000007</v>
      </c>
      <c r="D2" s="6">
        <v>9.8000000000000007</v>
      </c>
      <c r="E2" s="6">
        <v>9.8000000000000007</v>
      </c>
      <c r="F2" s="6">
        <v>9.6999999999999993</v>
      </c>
      <c r="G2" s="6">
        <v>9.8000000000000007</v>
      </c>
      <c r="H2" s="6">
        <v>9.9</v>
      </c>
      <c r="I2" s="6">
        <v>9.9</v>
      </c>
      <c r="J2" s="6">
        <v>10</v>
      </c>
      <c r="K2" s="6">
        <v>10</v>
      </c>
      <c r="L2" s="6">
        <v>10.1</v>
      </c>
      <c r="M2" s="6">
        <v>10</v>
      </c>
      <c r="N2" s="31">
        <v>9.9</v>
      </c>
      <c r="O2" s="7" t="s">
        <v>5</v>
      </c>
    </row>
    <row r="3" spans="1:15" ht="15.75" thickBot="1">
      <c r="A3" s="8">
        <v>1914</v>
      </c>
      <c r="B3" s="4">
        <v>10</v>
      </c>
      <c r="C3" s="4">
        <v>9.9</v>
      </c>
      <c r="D3" s="4">
        <v>9.9</v>
      </c>
      <c r="E3" s="4">
        <v>9.8000000000000007</v>
      </c>
      <c r="F3" s="4">
        <v>9.9</v>
      </c>
      <c r="G3" s="4">
        <v>9.9</v>
      </c>
      <c r="H3" s="4">
        <v>10</v>
      </c>
      <c r="I3" s="4">
        <v>10.199999999999999</v>
      </c>
      <c r="J3" s="4">
        <v>10.199999999999999</v>
      </c>
      <c r="K3" s="4">
        <v>10.1</v>
      </c>
      <c r="L3" s="4">
        <v>10.199999999999999</v>
      </c>
      <c r="M3" s="4">
        <v>10.1</v>
      </c>
      <c r="N3" s="32">
        <v>10</v>
      </c>
      <c r="O3" s="9">
        <v>1</v>
      </c>
    </row>
    <row r="4" spans="1:15" ht="15.75" thickBot="1">
      <c r="A4" s="10">
        <v>1915</v>
      </c>
      <c r="B4" s="3">
        <v>10.1</v>
      </c>
      <c r="C4" s="3">
        <v>10</v>
      </c>
      <c r="D4" s="3">
        <v>9.9</v>
      </c>
      <c r="E4" s="3">
        <v>10</v>
      </c>
      <c r="F4" s="3">
        <v>10.1</v>
      </c>
      <c r="G4" s="3">
        <v>10.1</v>
      </c>
      <c r="H4" s="3">
        <v>10.1</v>
      </c>
      <c r="I4" s="3">
        <v>10.1</v>
      </c>
      <c r="J4" s="3">
        <v>10.1</v>
      </c>
      <c r="K4" s="3">
        <v>10.199999999999999</v>
      </c>
      <c r="L4" s="3">
        <v>10.3</v>
      </c>
      <c r="M4" s="3">
        <v>10.3</v>
      </c>
      <c r="N4" s="33">
        <v>10.1</v>
      </c>
      <c r="O4" s="11">
        <v>1</v>
      </c>
    </row>
    <row r="5" spans="1:15" ht="15.75" thickBot="1">
      <c r="A5" s="8">
        <v>1916</v>
      </c>
      <c r="B5" s="4">
        <v>10.4</v>
      </c>
      <c r="C5" s="4">
        <v>10.4</v>
      </c>
      <c r="D5" s="4">
        <v>10.5</v>
      </c>
      <c r="E5" s="4">
        <v>10.6</v>
      </c>
      <c r="F5" s="4">
        <v>10.7</v>
      </c>
      <c r="G5" s="4">
        <v>10.8</v>
      </c>
      <c r="H5" s="4">
        <v>10.8</v>
      </c>
      <c r="I5" s="4">
        <v>10.9</v>
      </c>
      <c r="J5" s="4">
        <v>11.1</v>
      </c>
      <c r="K5" s="4">
        <v>11.3</v>
      </c>
      <c r="L5" s="4">
        <v>11.5</v>
      </c>
      <c r="M5" s="4">
        <v>11.6</v>
      </c>
      <c r="N5" s="32">
        <v>10.9</v>
      </c>
      <c r="O5" s="9">
        <v>7.9</v>
      </c>
    </row>
    <row r="6" spans="1:15" ht="15.75" thickBot="1">
      <c r="A6" s="10">
        <v>1917</v>
      </c>
      <c r="B6" s="3">
        <v>11.7</v>
      </c>
      <c r="C6" s="3">
        <v>12</v>
      </c>
      <c r="D6" s="3">
        <v>12</v>
      </c>
      <c r="E6" s="3">
        <v>12.6</v>
      </c>
      <c r="F6" s="3">
        <v>12.8</v>
      </c>
      <c r="G6" s="3">
        <v>13</v>
      </c>
      <c r="H6" s="3">
        <v>12.8</v>
      </c>
      <c r="I6" s="3">
        <v>13</v>
      </c>
      <c r="J6" s="3">
        <v>13.3</v>
      </c>
      <c r="K6" s="3">
        <v>13.5</v>
      </c>
      <c r="L6" s="3">
        <v>13.5</v>
      </c>
      <c r="M6" s="3">
        <v>13.7</v>
      </c>
      <c r="N6" s="33">
        <v>12.8</v>
      </c>
      <c r="O6" s="11">
        <v>17.399999999999999</v>
      </c>
    </row>
    <row r="7" spans="1:15" ht="15.75" thickBot="1">
      <c r="A7" s="8">
        <v>1918</v>
      </c>
      <c r="B7" s="4">
        <v>14</v>
      </c>
      <c r="C7" s="4">
        <v>14.1</v>
      </c>
      <c r="D7" s="4">
        <v>14</v>
      </c>
      <c r="E7" s="4">
        <v>14.2</v>
      </c>
      <c r="F7" s="4">
        <v>14.5</v>
      </c>
      <c r="G7" s="4">
        <v>14.7</v>
      </c>
      <c r="H7" s="4">
        <v>15.1</v>
      </c>
      <c r="I7" s="4">
        <v>15.4</v>
      </c>
      <c r="J7" s="4">
        <v>15.7</v>
      </c>
      <c r="K7" s="4">
        <v>16</v>
      </c>
      <c r="L7" s="4">
        <v>16.3</v>
      </c>
      <c r="M7" s="4">
        <v>16.5</v>
      </c>
      <c r="N7" s="32">
        <v>15.1</v>
      </c>
      <c r="O7" s="9">
        <v>18</v>
      </c>
    </row>
    <row r="8" spans="1:15" ht="15.75" thickBot="1">
      <c r="A8" s="10">
        <v>1919</v>
      </c>
      <c r="B8" s="3">
        <v>16.5</v>
      </c>
      <c r="C8" s="3">
        <v>16.2</v>
      </c>
      <c r="D8" s="3">
        <v>16.399999999999999</v>
      </c>
      <c r="E8" s="3">
        <v>16.7</v>
      </c>
      <c r="F8" s="3">
        <v>16.899999999999999</v>
      </c>
      <c r="G8" s="3">
        <v>16.899999999999999</v>
      </c>
      <c r="H8" s="3">
        <v>17.399999999999999</v>
      </c>
      <c r="I8" s="3">
        <v>17.7</v>
      </c>
      <c r="J8" s="3">
        <v>17.8</v>
      </c>
      <c r="K8" s="3">
        <v>18.100000000000001</v>
      </c>
      <c r="L8" s="3">
        <v>18.5</v>
      </c>
      <c r="M8" s="3">
        <v>18.899999999999999</v>
      </c>
      <c r="N8" s="33">
        <v>17.3</v>
      </c>
      <c r="O8" s="11">
        <v>14.6</v>
      </c>
    </row>
    <row r="9" spans="1:15" ht="15.75" thickBot="1">
      <c r="A9" s="8">
        <v>1920</v>
      </c>
      <c r="B9" s="4">
        <v>19.3</v>
      </c>
      <c r="C9" s="4">
        <v>19.5</v>
      </c>
      <c r="D9" s="4">
        <v>19.7</v>
      </c>
      <c r="E9" s="4">
        <v>20.3</v>
      </c>
      <c r="F9" s="4">
        <v>20.6</v>
      </c>
      <c r="G9" s="4">
        <v>20.9</v>
      </c>
      <c r="H9" s="4">
        <v>20.8</v>
      </c>
      <c r="I9" s="4">
        <v>20.3</v>
      </c>
      <c r="J9" s="4">
        <v>20</v>
      </c>
      <c r="K9" s="4">
        <v>19.899999999999999</v>
      </c>
      <c r="L9" s="4">
        <v>19.8</v>
      </c>
      <c r="M9" s="4">
        <v>19.399999999999999</v>
      </c>
      <c r="N9" s="32">
        <v>20</v>
      </c>
      <c r="O9" s="9">
        <v>15.6</v>
      </c>
    </row>
    <row r="10" spans="1:15" ht="15.75" thickBot="1">
      <c r="A10" s="10">
        <v>1921</v>
      </c>
      <c r="B10" s="3">
        <v>19</v>
      </c>
      <c r="C10" s="3">
        <v>18.399999999999999</v>
      </c>
      <c r="D10" s="3">
        <v>18.3</v>
      </c>
      <c r="E10" s="3">
        <v>18.100000000000001</v>
      </c>
      <c r="F10" s="3">
        <v>17.7</v>
      </c>
      <c r="G10" s="3">
        <v>17.600000000000001</v>
      </c>
      <c r="H10" s="3">
        <v>17.7</v>
      </c>
      <c r="I10" s="3">
        <v>17.7</v>
      </c>
      <c r="J10" s="3">
        <v>17.5</v>
      </c>
      <c r="K10" s="3">
        <v>17.5</v>
      </c>
      <c r="L10" s="3">
        <v>17.399999999999999</v>
      </c>
      <c r="M10" s="3">
        <v>17.3</v>
      </c>
      <c r="N10" s="33">
        <v>17.899999999999999</v>
      </c>
      <c r="O10" s="11">
        <v>-10.5</v>
      </c>
    </row>
    <row r="11" spans="1:15" ht="15.75" thickBot="1">
      <c r="A11" s="8">
        <v>1922</v>
      </c>
      <c r="B11" s="4">
        <v>16.899999999999999</v>
      </c>
      <c r="C11" s="4">
        <v>16.899999999999999</v>
      </c>
      <c r="D11" s="4">
        <v>16.7</v>
      </c>
      <c r="E11" s="4">
        <v>16.7</v>
      </c>
      <c r="F11" s="4">
        <v>16.7</v>
      </c>
      <c r="G11" s="4">
        <v>16.7</v>
      </c>
      <c r="H11" s="4">
        <v>16.8</v>
      </c>
      <c r="I11" s="4">
        <v>16.600000000000001</v>
      </c>
      <c r="J11" s="4">
        <v>16.600000000000001</v>
      </c>
      <c r="K11" s="4">
        <v>16.7</v>
      </c>
      <c r="L11" s="4">
        <v>16.8</v>
      </c>
      <c r="M11" s="4">
        <v>16.899999999999999</v>
      </c>
      <c r="N11" s="32">
        <v>16.8</v>
      </c>
      <c r="O11" s="9">
        <v>-6.1</v>
      </c>
    </row>
    <row r="12" spans="1:15" ht="15.75" thickBot="1">
      <c r="A12" s="10">
        <v>1923</v>
      </c>
      <c r="B12" s="3">
        <v>16.8</v>
      </c>
      <c r="C12" s="3">
        <v>16.8</v>
      </c>
      <c r="D12" s="3">
        <v>16.8</v>
      </c>
      <c r="E12" s="3">
        <v>16.899999999999999</v>
      </c>
      <c r="F12" s="3">
        <v>16.899999999999999</v>
      </c>
      <c r="G12" s="3">
        <v>17</v>
      </c>
      <c r="H12" s="3">
        <v>17.2</v>
      </c>
      <c r="I12" s="3">
        <v>17.100000000000001</v>
      </c>
      <c r="J12" s="3">
        <v>17.2</v>
      </c>
      <c r="K12" s="3">
        <v>17.3</v>
      </c>
      <c r="L12" s="3">
        <v>17.3</v>
      </c>
      <c r="M12" s="3">
        <v>17.3</v>
      </c>
      <c r="N12" s="33">
        <v>17.100000000000001</v>
      </c>
      <c r="O12" s="11">
        <v>1.8</v>
      </c>
    </row>
    <row r="13" spans="1:15" ht="15.75" thickBot="1">
      <c r="A13" s="8">
        <v>1924</v>
      </c>
      <c r="B13" s="4">
        <v>17.3</v>
      </c>
      <c r="C13" s="4">
        <v>17.2</v>
      </c>
      <c r="D13" s="4">
        <v>17.100000000000001</v>
      </c>
      <c r="E13" s="4">
        <v>17</v>
      </c>
      <c r="F13" s="4">
        <v>17</v>
      </c>
      <c r="G13" s="4">
        <v>17</v>
      </c>
      <c r="H13" s="4">
        <v>17.100000000000001</v>
      </c>
      <c r="I13" s="4">
        <v>17</v>
      </c>
      <c r="J13" s="4">
        <v>17.100000000000001</v>
      </c>
      <c r="K13" s="4">
        <v>17.2</v>
      </c>
      <c r="L13" s="4">
        <v>17.2</v>
      </c>
      <c r="M13" s="4">
        <v>17.3</v>
      </c>
      <c r="N13" s="32">
        <v>17.100000000000001</v>
      </c>
      <c r="O13" s="9">
        <v>0</v>
      </c>
    </row>
    <row r="14" spans="1:15" ht="15.75" thickBot="1">
      <c r="A14" s="10">
        <v>1925</v>
      </c>
      <c r="B14" s="3">
        <v>17.3</v>
      </c>
      <c r="C14" s="3">
        <v>17.2</v>
      </c>
      <c r="D14" s="3">
        <v>17.3</v>
      </c>
      <c r="E14" s="3">
        <v>17.2</v>
      </c>
      <c r="F14" s="3">
        <v>17.3</v>
      </c>
      <c r="G14" s="3">
        <v>17.5</v>
      </c>
      <c r="H14" s="3">
        <v>17.7</v>
      </c>
      <c r="I14" s="3">
        <v>17.7</v>
      </c>
      <c r="J14" s="3">
        <v>17.7</v>
      </c>
      <c r="K14" s="3">
        <v>17.7</v>
      </c>
      <c r="L14" s="3">
        <v>18</v>
      </c>
      <c r="M14" s="3">
        <v>17.899999999999999</v>
      </c>
      <c r="N14" s="33">
        <v>17.5</v>
      </c>
      <c r="O14" s="11">
        <v>2.2999999999999998</v>
      </c>
    </row>
    <row r="15" spans="1:15" ht="15.75" thickBot="1">
      <c r="A15" s="8">
        <v>1926</v>
      </c>
      <c r="B15" s="4">
        <v>17.899999999999999</v>
      </c>
      <c r="C15" s="4">
        <v>17.899999999999999</v>
      </c>
      <c r="D15" s="4">
        <v>17.8</v>
      </c>
      <c r="E15" s="4">
        <v>17.899999999999999</v>
      </c>
      <c r="F15" s="4">
        <v>17.8</v>
      </c>
      <c r="G15" s="4">
        <v>17.7</v>
      </c>
      <c r="H15" s="4">
        <v>17.5</v>
      </c>
      <c r="I15" s="4">
        <v>17.399999999999999</v>
      </c>
      <c r="J15" s="4">
        <v>17.5</v>
      </c>
      <c r="K15" s="4">
        <v>17.600000000000001</v>
      </c>
      <c r="L15" s="4">
        <v>17.7</v>
      </c>
      <c r="M15" s="4">
        <v>17.7</v>
      </c>
      <c r="N15" s="32">
        <v>17.7</v>
      </c>
      <c r="O15" s="9">
        <v>1.1000000000000001</v>
      </c>
    </row>
    <row r="16" spans="1:15" ht="15.75" thickBot="1">
      <c r="A16" s="10">
        <v>1927</v>
      </c>
      <c r="B16" s="3">
        <v>17.5</v>
      </c>
      <c r="C16" s="3">
        <v>17.399999999999999</v>
      </c>
      <c r="D16" s="3">
        <v>17.3</v>
      </c>
      <c r="E16" s="3">
        <v>17.3</v>
      </c>
      <c r="F16" s="3">
        <v>17.399999999999999</v>
      </c>
      <c r="G16" s="3">
        <v>17.600000000000001</v>
      </c>
      <c r="H16" s="3">
        <v>17.3</v>
      </c>
      <c r="I16" s="3">
        <v>17.2</v>
      </c>
      <c r="J16" s="3">
        <v>17.3</v>
      </c>
      <c r="K16" s="3">
        <v>17.399999999999999</v>
      </c>
      <c r="L16" s="3">
        <v>17.3</v>
      </c>
      <c r="M16" s="3">
        <v>17.3</v>
      </c>
      <c r="N16" s="33">
        <v>17.399999999999999</v>
      </c>
      <c r="O16" s="11">
        <v>-1.7</v>
      </c>
    </row>
    <row r="17" spans="1:15" ht="15.75" thickBot="1">
      <c r="A17" s="8">
        <v>1928</v>
      </c>
      <c r="B17" s="4">
        <v>17.3</v>
      </c>
      <c r="C17" s="4">
        <v>17.100000000000001</v>
      </c>
      <c r="D17" s="4">
        <v>17.100000000000001</v>
      </c>
      <c r="E17" s="4">
        <v>17.100000000000001</v>
      </c>
      <c r="F17" s="4">
        <v>17.2</v>
      </c>
      <c r="G17" s="4">
        <v>17.100000000000001</v>
      </c>
      <c r="H17" s="4">
        <v>17.100000000000001</v>
      </c>
      <c r="I17" s="4">
        <v>17.100000000000001</v>
      </c>
      <c r="J17" s="4">
        <v>17.3</v>
      </c>
      <c r="K17" s="4">
        <v>17.2</v>
      </c>
      <c r="L17" s="4">
        <v>17.2</v>
      </c>
      <c r="M17" s="4">
        <v>17.100000000000001</v>
      </c>
      <c r="N17" s="32">
        <v>17.100000000000001</v>
      </c>
      <c r="O17" s="9">
        <v>-1.7</v>
      </c>
    </row>
    <row r="18" spans="1:15" ht="15.75" thickBot="1">
      <c r="A18" s="10">
        <v>1929</v>
      </c>
      <c r="B18" s="3">
        <v>17.100000000000001</v>
      </c>
      <c r="C18" s="3">
        <v>17.100000000000001</v>
      </c>
      <c r="D18" s="3">
        <v>17</v>
      </c>
      <c r="E18" s="3">
        <v>16.899999999999999</v>
      </c>
      <c r="F18" s="3">
        <v>17</v>
      </c>
      <c r="G18" s="3">
        <v>17.100000000000001</v>
      </c>
      <c r="H18" s="3">
        <v>17.3</v>
      </c>
      <c r="I18" s="3">
        <v>17.3</v>
      </c>
      <c r="J18" s="3">
        <v>17.3</v>
      </c>
      <c r="K18" s="3">
        <v>17.3</v>
      </c>
      <c r="L18" s="3">
        <v>17.3</v>
      </c>
      <c r="M18" s="3">
        <v>17.2</v>
      </c>
      <c r="N18" s="33">
        <v>17.100000000000001</v>
      </c>
      <c r="O18" s="11">
        <v>0</v>
      </c>
    </row>
    <row r="19" spans="1:15" ht="15.75" thickBot="1">
      <c r="A19" s="8">
        <v>1930</v>
      </c>
      <c r="B19" s="4">
        <v>17.100000000000001</v>
      </c>
      <c r="C19" s="4">
        <v>17</v>
      </c>
      <c r="D19" s="4">
        <v>16.899999999999999</v>
      </c>
      <c r="E19" s="4">
        <v>17</v>
      </c>
      <c r="F19" s="4">
        <v>16.899999999999999</v>
      </c>
      <c r="G19" s="4">
        <v>16.8</v>
      </c>
      <c r="H19" s="4">
        <v>16.600000000000001</v>
      </c>
      <c r="I19" s="4">
        <v>16.5</v>
      </c>
      <c r="J19" s="4">
        <v>16.600000000000001</v>
      </c>
      <c r="K19" s="4">
        <v>16.5</v>
      </c>
      <c r="L19" s="4">
        <v>16.399999999999999</v>
      </c>
      <c r="M19" s="4">
        <v>16.100000000000001</v>
      </c>
      <c r="N19" s="32">
        <v>16.7</v>
      </c>
      <c r="O19" s="9">
        <v>-2.2999999999999998</v>
      </c>
    </row>
    <row r="20" spans="1:15" ht="15.75" thickBot="1">
      <c r="A20" s="10">
        <v>1931</v>
      </c>
      <c r="B20" s="3">
        <v>15.9</v>
      </c>
      <c r="C20" s="3">
        <v>15.7</v>
      </c>
      <c r="D20" s="3">
        <v>15.6</v>
      </c>
      <c r="E20" s="3">
        <v>15.5</v>
      </c>
      <c r="F20" s="3">
        <v>15.3</v>
      </c>
      <c r="G20" s="3">
        <v>15.1</v>
      </c>
      <c r="H20" s="3">
        <v>15.1</v>
      </c>
      <c r="I20" s="3">
        <v>15.1</v>
      </c>
      <c r="J20" s="3">
        <v>15</v>
      </c>
      <c r="K20" s="3">
        <v>14.9</v>
      </c>
      <c r="L20" s="3">
        <v>14.7</v>
      </c>
      <c r="M20" s="3">
        <v>14.6</v>
      </c>
      <c r="N20" s="33">
        <v>15.2</v>
      </c>
      <c r="O20" s="11">
        <v>-9</v>
      </c>
    </row>
    <row r="21" spans="1:15" ht="15.75" thickBot="1">
      <c r="A21" s="8">
        <v>1932</v>
      </c>
      <c r="B21" s="4">
        <v>14.3</v>
      </c>
      <c r="C21" s="4">
        <v>14.1</v>
      </c>
      <c r="D21" s="4">
        <v>14</v>
      </c>
      <c r="E21" s="4">
        <v>13.9</v>
      </c>
      <c r="F21" s="4">
        <v>13.7</v>
      </c>
      <c r="G21" s="4">
        <v>13.6</v>
      </c>
      <c r="H21" s="4">
        <v>13.6</v>
      </c>
      <c r="I21" s="4">
        <v>13.5</v>
      </c>
      <c r="J21" s="4">
        <v>13.4</v>
      </c>
      <c r="K21" s="4">
        <v>13.3</v>
      </c>
      <c r="L21" s="4">
        <v>13.2</v>
      </c>
      <c r="M21" s="4">
        <v>13.1</v>
      </c>
      <c r="N21" s="32">
        <v>13.7</v>
      </c>
      <c r="O21" s="9">
        <v>-9.9</v>
      </c>
    </row>
    <row r="22" spans="1:15" ht="15.75" thickBot="1">
      <c r="A22" s="10">
        <v>1933</v>
      </c>
      <c r="B22" s="3">
        <v>12.9</v>
      </c>
      <c r="C22" s="3">
        <v>12.7</v>
      </c>
      <c r="D22" s="3">
        <v>12.6</v>
      </c>
      <c r="E22" s="3">
        <v>12.6</v>
      </c>
      <c r="F22" s="3">
        <v>12.6</v>
      </c>
      <c r="G22" s="3">
        <v>12.7</v>
      </c>
      <c r="H22" s="3">
        <v>13.1</v>
      </c>
      <c r="I22" s="3">
        <v>13.2</v>
      </c>
      <c r="J22" s="3">
        <v>13.2</v>
      </c>
      <c r="K22" s="3">
        <v>13.2</v>
      </c>
      <c r="L22" s="3">
        <v>13.2</v>
      </c>
      <c r="M22" s="3">
        <v>13.2</v>
      </c>
      <c r="N22" s="33">
        <v>13</v>
      </c>
      <c r="O22" s="11">
        <v>-5.0999999999999996</v>
      </c>
    </row>
    <row r="23" spans="1:15" ht="15.75" thickBot="1">
      <c r="A23" s="8">
        <v>1934</v>
      </c>
      <c r="B23" s="4">
        <v>13.2</v>
      </c>
      <c r="C23" s="4">
        <v>13.3</v>
      </c>
      <c r="D23" s="4">
        <v>13.3</v>
      </c>
      <c r="E23" s="4">
        <v>13.3</v>
      </c>
      <c r="F23" s="4">
        <v>13.3</v>
      </c>
      <c r="G23" s="4">
        <v>13.4</v>
      </c>
      <c r="H23" s="4">
        <v>13.4</v>
      </c>
      <c r="I23" s="4">
        <v>13.4</v>
      </c>
      <c r="J23" s="4">
        <v>13.6</v>
      </c>
      <c r="K23" s="4">
        <v>13.5</v>
      </c>
      <c r="L23" s="4">
        <v>13.5</v>
      </c>
      <c r="M23" s="4">
        <v>13.4</v>
      </c>
      <c r="N23" s="32">
        <v>13.4</v>
      </c>
      <c r="O23" s="9">
        <v>3.1</v>
      </c>
    </row>
    <row r="24" spans="1:15" ht="15.75" thickBot="1">
      <c r="A24" s="10">
        <v>1935</v>
      </c>
      <c r="B24" s="3">
        <v>13.6</v>
      </c>
      <c r="C24" s="3">
        <v>13.7</v>
      </c>
      <c r="D24" s="3">
        <v>13.7</v>
      </c>
      <c r="E24" s="3">
        <v>13.8</v>
      </c>
      <c r="F24" s="3">
        <v>13.8</v>
      </c>
      <c r="G24" s="3">
        <v>13.7</v>
      </c>
      <c r="H24" s="3">
        <v>13.7</v>
      </c>
      <c r="I24" s="3">
        <v>13.7</v>
      </c>
      <c r="J24" s="3">
        <v>13.7</v>
      </c>
      <c r="K24" s="3">
        <v>13.7</v>
      </c>
      <c r="L24" s="3">
        <v>13.8</v>
      </c>
      <c r="M24" s="3">
        <v>13.8</v>
      </c>
      <c r="N24" s="33">
        <v>13.7</v>
      </c>
      <c r="O24" s="11">
        <v>2.2000000000000002</v>
      </c>
    </row>
    <row r="25" spans="1:15" ht="15.75" thickBot="1">
      <c r="A25" s="8">
        <v>1936</v>
      </c>
      <c r="B25" s="4">
        <v>13.8</v>
      </c>
      <c r="C25" s="4">
        <v>13.8</v>
      </c>
      <c r="D25" s="4">
        <v>13.7</v>
      </c>
      <c r="E25" s="4">
        <v>13.7</v>
      </c>
      <c r="F25" s="4">
        <v>13.7</v>
      </c>
      <c r="G25" s="4">
        <v>13.8</v>
      </c>
      <c r="H25" s="4">
        <v>13.9</v>
      </c>
      <c r="I25" s="4">
        <v>14</v>
      </c>
      <c r="J25" s="4">
        <v>14</v>
      </c>
      <c r="K25" s="4">
        <v>14</v>
      </c>
      <c r="L25" s="4">
        <v>14</v>
      </c>
      <c r="M25" s="4">
        <v>14</v>
      </c>
      <c r="N25" s="32">
        <v>13.9</v>
      </c>
      <c r="O25" s="9">
        <v>1.5</v>
      </c>
    </row>
    <row r="26" spans="1:15" ht="15.75" thickBot="1">
      <c r="A26" s="10">
        <v>1937</v>
      </c>
      <c r="B26" s="3">
        <v>14.1</v>
      </c>
      <c r="C26" s="3">
        <v>14.1</v>
      </c>
      <c r="D26" s="3">
        <v>14.2</v>
      </c>
      <c r="E26" s="3">
        <v>14.3</v>
      </c>
      <c r="F26" s="3">
        <v>14.4</v>
      </c>
      <c r="G26" s="3">
        <v>14.4</v>
      </c>
      <c r="H26" s="3">
        <v>14.5</v>
      </c>
      <c r="I26" s="3">
        <v>14.5</v>
      </c>
      <c r="J26" s="3">
        <v>14.6</v>
      </c>
      <c r="K26" s="3">
        <v>14.6</v>
      </c>
      <c r="L26" s="3">
        <v>14.5</v>
      </c>
      <c r="M26" s="3">
        <v>14.4</v>
      </c>
      <c r="N26" s="33">
        <v>14.4</v>
      </c>
      <c r="O26" s="11">
        <v>3.6</v>
      </c>
    </row>
    <row r="27" spans="1:15" ht="15.75" thickBot="1">
      <c r="A27" s="8">
        <v>1938</v>
      </c>
      <c r="B27" s="4">
        <v>14.2</v>
      </c>
      <c r="C27" s="4">
        <v>14.1</v>
      </c>
      <c r="D27" s="4">
        <v>14.1</v>
      </c>
      <c r="E27" s="4">
        <v>14.2</v>
      </c>
      <c r="F27" s="4">
        <v>14.1</v>
      </c>
      <c r="G27" s="4">
        <v>14.1</v>
      </c>
      <c r="H27" s="4">
        <v>14.1</v>
      </c>
      <c r="I27" s="4">
        <v>14.1</v>
      </c>
      <c r="J27" s="4">
        <v>14.1</v>
      </c>
      <c r="K27" s="4">
        <v>14</v>
      </c>
      <c r="L27" s="4">
        <v>14</v>
      </c>
      <c r="M27" s="4">
        <v>14</v>
      </c>
      <c r="N27" s="32">
        <v>14.1</v>
      </c>
      <c r="O27" s="9">
        <v>-2.1</v>
      </c>
    </row>
    <row r="28" spans="1:15" ht="15.75" thickBot="1">
      <c r="A28" s="10">
        <v>1939</v>
      </c>
      <c r="B28" s="3">
        <v>14</v>
      </c>
      <c r="C28" s="3">
        <v>13.9</v>
      </c>
      <c r="D28" s="3">
        <v>13.9</v>
      </c>
      <c r="E28" s="3">
        <v>13.8</v>
      </c>
      <c r="F28" s="3">
        <v>13.8</v>
      </c>
      <c r="G28" s="3">
        <v>13.8</v>
      </c>
      <c r="H28" s="3">
        <v>13.8</v>
      </c>
      <c r="I28" s="3">
        <v>13.8</v>
      </c>
      <c r="J28" s="3">
        <v>14.1</v>
      </c>
      <c r="K28" s="3">
        <v>14</v>
      </c>
      <c r="L28" s="3">
        <v>14</v>
      </c>
      <c r="M28" s="3">
        <v>14</v>
      </c>
      <c r="N28" s="33">
        <v>13.9</v>
      </c>
      <c r="O28" s="11">
        <v>-1.4</v>
      </c>
    </row>
    <row r="29" spans="1:15" ht="15.75" thickBot="1">
      <c r="A29" s="8">
        <v>1940</v>
      </c>
      <c r="B29" s="4">
        <v>13.9</v>
      </c>
      <c r="C29" s="4">
        <v>14</v>
      </c>
      <c r="D29" s="4">
        <v>14</v>
      </c>
      <c r="E29" s="4">
        <v>14</v>
      </c>
      <c r="F29" s="4">
        <v>14</v>
      </c>
      <c r="G29" s="4">
        <v>14.1</v>
      </c>
      <c r="H29" s="4">
        <v>14</v>
      </c>
      <c r="I29" s="4">
        <v>14</v>
      </c>
      <c r="J29" s="4">
        <v>14</v>
      </c>
      <c r="K29" s="4">
        <v>14</v>
      </c>
      <c r="L29" s="4">
        <v>14</v>
      </c>
      <c r="M29" s="4">
        <v>14.1</v>
      </c>
      <c r="N29" s="32">
        <v>14</v>
      </c>
      <c r="O29" s="9">
        <v>0.7</v>
      </c>
    </row>
    <row r="30" spans="1:15" ht="15.75" thickBot="1">
      <c r="A30" s="10">
        <v>1941</v>
      </c>
      <c r="B30" s="3">
        <v>14.1</v>
      </c>
      <c r="C30" s="3">
        <v>14.1</v>
      </c>
      <c r="D30" s="3">
        <v>14.2</v>
      </c>
      <c r="E30" s="3">
        <v>14.3</v>
      </c>
      <c r="F30" s="3">
        <v>14.4</v>
      </c>
      <c r="G30" s="3">
        <v>14.7</v>
      </c>
      <c r="H30" s="3">
        <v>14.7</v>
      </c>
      <c r="I30" s="3">
        <v>14.9</v>
      </c>
      <c r="J30" s="3">
        <v>15.1</v>
      </c>
      <c r="K30" s="3">
        <v>15.3</v>
      </c>
      <c r="L30" s="3">
        <v>15.4</v>
      </c>
      <c r="M30" s="3">
        <v>15.5</v>
      </c>
      <c r="N30" s="33">
        <v>14.7</v>
      </c>
      <c r="O30" s="11">
        <v>5</v>
      </c>
    </row>
    <row r="31" spans="1:15" ht="15.75" thickBot="1">
      <c r="A31" s="8">
        <v>1942</v>
      </c>
      <c r="B31" s="4">
        <v>15.7</v>
      </c>
      <c r="C31" s="4">
        <v>15.8</v>
      </c>
      <c r="D31" s="4">
        <v>16</v>
      </c>
      <c r="E31" s="4">
        <v>16.100000000000001</v>
      </c>
      <c r="F31" s="4">
        <v>16.3</v>
      </c>
      <c r="G31" s="4">
        <v>16.3</v>
      </c>
      <c r="H31" s="4">
        <v>16.399999999999999</v>
      </c>
      <c r="I31" s="4">
        <v>16.5</v>
      </c>
      <c r="J31" s="4">
        <v>16.5</v>
      </c>
      <c r="K31" s="4">
        <v>16.7</v>
      </c>
      <c r="L31" s="4">
        <v>16.8</v>
      </c>
      <c r="M31" s="4">
        <v>16.899999999999999</v>
      </c>
      <c r="N31" s="32">
        <v>16.3</v>
      </c>
      <c r="O31" s="9">
        <v>10.9</v>
      </c>
    </row>
    <row r="32" spans="1:15" ht="15.75" thickBot="1">
      <c r="A32" s="10">
        <v>1943</v>
      </c>
      <c r="B32" s="3">
        <v>16.899999999999999</v>
      </c>
      <c r="C32" s="3">
        <v>16.899999999999999</v>
      </c>
      <c r="D32" s="3">
        <v>17.2</v>
      </c>
      <c r="E32" s="3">
        <v>17.399999999999999</v>
      </c>
      <c r="F32" s="3">
        <v>17.5</v>
      </c>
      <c r="G32" s="3">
        <v>17.5</v>
      </c>
      <c r="H32" s="3">
        <v>17.399999999999999</v>
      </c>
      <c r="I32" s="3">
        <v>17.3</v>
      </c>
      <c r="J32" s="3">
        <v>17.399999999999999</v>
      </c>
      <c r="K32" s="3">
        <v>17.399999999999999</v>
      </c>
      <c r="L32" s="3">
        <v>17.399999999999999</v>
      </c>
      <c r="M32" s="3">
        <v>17.399999999999999</v>
      </c>
      <c r="N32" s="33">
        <v>17.3</v>
      </c>
      <c r="O32" s="11">
        <v>6.1</v>
      </c>
    </row>
    <row r="33" spans="1:19" ht="15.75" thickBot="1">
      <c r="A33" s="8">
        <v>1944</v>
      </c>
      <c r="B33" s="4">
        <v>17.399999999999999</v>
      </c>
      <c r="C33" s="4">
        <v>17.399999999999999</v>
      </c>
      <c r="D33" s="4">
        <v>17.399999999999999</v>
      </c>
      <c r="E33" s="4">
        <v>17.5</v>
      </c>
      <c r="F33" s="4">
        <v>17.5</v>
      </c>
      <c r="G33" s="4">
        <v>17.600000000000001</v>
      </c>
      <c r="H33" s="4">
        <v>17.7</v>
      </c>
      <c r="I33" s="4">
        <v>17.7</v>
      </c>
      <c r="J33" s="4">
        <v>17.7</v>
      </c>
      <c r="K33" s="4">
        <v>17.7</v>
      </c>
      <c r="L33" s="4">
        <v>17.7</v>
      </c>
      <c r="M33" s="4">
        <v>17.8</v>
      </c>
      <c r="N33" s="32">
        <v>17.600000000000001</v>
      </c>
      <c r="O33" s="9">
        <v>1.7</v>
      </c>
    </row>
    <row r="34" spans="1:19" ht="15.75" thickBot="1">
      <c r="A34" s="10">
        <v>1945</v>
      </c>
      <c r="B34" s="3">
        <v>17.8</v>
      </c>
      <c r="C34" s="3">
        <v>17.8</v>
      </c>
      <c r="D34" s="3">
        <v>17.8</v>
      </c>
      <c r="E34" s="3">
        <v>17.8</v>
      </c>
      <c r="F34" s="3">
        <v>17.899999999999999</v>
      </c>
      <c r="G34" s="3">
        <v>18.100000000000001</v>
      </c>
      <c r="H34" s="3">
        <v>18.100000000000001</v>
      </c>
      <c r="I34" s="3">
        <v>18.100000000000001</v>
      </c>
      <c r="J34" s="3">
        <v>18.100000000000001</v>
      </c>
      <c r="K34" s="3">
        <v>18.100000000000001</v>
      </c>
      <c r="L34" s="3">
        <v>18.100000000000001</v>
      </c>
      <c r="M34" s="3">
        <v>18.2</v>
      </c>
      <c r="N34" s="33">
        <v>18</v>
      </c>
      <c r="O34" s="11">
        <v>2.2999999999999998</v>
      </c>
      <c r="R34" s="16" t="s">
        <v>21</v>
      </c>
      <c r="S34" s="16">
        <f>10</f>
        <v>10</v>
      </c>
    </row>
    <row r="35" spans="1:19" ht="30.75" thickBot="1">
      <c r="A35" s="8">
        <v>1946</v>
      </c>
      <c r="B35" s="4">
        <v>18.2</v>
      </c>
      <c r="C35" s="4">
        <v>18.100000000000001</v>
      </c>
      <c r="D35" s="4">
        <v>18.3</v>
      </c>
      <c r="E35" s="4">
        <v>18.399999999999999</v>
      </c>
      <c r="F35" s="4">
        <v>18.5</v>
      </c>
      <c r="G35" s="4">
        <v>18.7</v>
      </c>
      <c r="H35" s="4">
        <v>19.8</v>
      </c>
      <c r="I35" s="4">
        <v>20.2</v>
      </c>
      <c r="J35" s="4">
        <v>20.399999999999999</v>
      </c>
      <c r="K35" s="4">
        <v>20.8</v>
      </c>
      <c r="L35" s="4">
        <v>21.3</v>
      </c>
      <c r="M35" s="4">
        <v>21.5</v>
      </c>
      <c r="N35" s="32">
        <v>19.5</v>
      </c>
      <c r="O35" s="9">
        <v>8.3000000000000007</v>
      </c>
      <c r="R35" s="16" t="s">
        <v>22</v>
      </c>
      <c r="S35" s="16">
        <f>(0.0068*S34)+2.8506</f>
        <v>2.9186000000000001</v>
      </c>
    </row>
    <row r="36" spans="1:19" ht="15.75" thickBot="1">
      <c r="A36" s="10">
        <v>1947</v>
      </c>
      <c r="B36" s="3">
        <v>21.5</v>
      </c>
      <c r="C36" s="3">
        <v>21.5</v>
      </c>
      <c r="D36" s="3">
        <v>21.9</v>
      </c>
      <c r="E36" s="3">
        <v>21.9</v>
      </c>
      <c r="F36" s="3">
        <v>21.9</v>
      </c>
      <c r="G36" s="3">
        <v>22</v>
      </c>
      <c r="H36" s="3">
        <v>22.2</v>
      </c>
      <c r="I36" s="3">
        <v>22.5</v>
      </c>
      <c r="J36" s="3">
        <v>23</v>
      </c>
      <c r="K36" s="3">
        <v>23</v>
      </c>
      <c r="L36" s="3">
        <v>23.1</v>
      </c>
      <c r="M36" s="3">
        <v>23.4</v>
      </c>
      <c r="N36" s="33">
        <v>22.3</v>
      </c>
      <c r="O36" s="11">
        <v>14.4</v>
      </c>
    </row>
    <row r="37" spans="1:19" ht="15.75" thickBot="1">
      <c r="A37" s="8">
        <v>1948</v>
      </c>
      <c r="B37" s="4">
        <v>23.7</v>
      </c>
      <c r="C37" s="4">
        <v>23.5</v>
      </c>
      <c r="D37" s="4">
        <v>23.4</v>
      </c>
      <c r="E37" s="4">
        <v>23.8</v>
      </c>
      <c r="F37" s="4">
        <v>23.9</v>
      </c>
      <c r="G37" s="4">
        <v>24.1</v>
      </c>
      <c r="H37" s="4">
        <v>24.4</v>
      </c>
      <c r="I37" s="4">
        <v>24.5</v>
      </c>
      <c r="J37" s="4">
        <v>24.5</v>
      </c>
      <c r="K37" s="4">
        <v>24.4</v>
      </c>
      <c r="L37" s="4">
        <v>24.2</v>
      </c>
      <c r="M37" s="4">
        <v>24.1</v>
      </c>
      <c r="N37" s="32">
        <v>24.1</v>
      </c>
      <c r="O37" s="9">
        <v>8.1</v>
      </c>
    </row>
    <row r="38" spans="1:19" ht="15.75" thickBot="1">
      <c r="A38" s="10">
        <v>1949</v>
      </c>
      <c r="B38" s="3">
        <v>24</v>
      </c>
      <c r="C38" s="3">
        <v>23.8</v>
      </c>
      <c r="D38" s="3">
        <v>23.8</v>
      </c>
      <c r="E38" s="3">
        <v>23.9</v>
      </c>
      <c r="F38" s="3">
        <v>23.8</v>
      </c>
      <c r="G38" s="3">
        <v>23.9</v>
      </c>
      <c r="H38" s="3">
        <v>23.7</v>
      </c>
      <c r="I38" s="3">
        <v>23.8</v>
      </c>
      <c r="J38" s="3">
        <v>23.9</v>
      </c>
      <c r="K38" s="3">
        <v>23.7</v>
      </c>
      <c r="L38" s="3">
        <v>23.8</v>
      </c>
      <c r="M38" s="3">
        <v>23.6</v>
      </c>
      <c r="N38" s="33">
        <v>23.8</v>
      </c>
      <c r="O38" s="11">
        <v>-1.2</v>
      </c>
    </row>
    <row r="39" spans="1:19" ht="15.75" thickBot="1">
      <c r="A39" s="8">
        <v>1950</v>
      </c>
      <c r="B39" s="4">
        <v>23.5</v>
      </c>
      <c r="C39" s="4">
        <v>23.5</v>
      </c>
      <c r="D39" s="4">
        <v>23.6</v>
      </c>
      <c r="E39" s="4">
        <v>23.6</v>
      </c>
      <c r="F39" s="4">
        <v>23.7</v>
      </c>
      <c r="G39" s="4">
        <v>23.8</v>
      </c>
      <c r="H39" s="4">
        <v>24.1</v>
      </c>
      <c r="I39" s="4">
        <v>24.3</v>
      </c>
      <c r="J39" s="4">
        <v>24.4</v>
      </c>
      <c r="K39" s="4">
        <v>24.6</v>
      </c>
      <c r="L39" s="4">
        <v>24.7</v>
      </c>
      <c r="M39" s="4">
        <v>25</v>
      </c>
      <c r="N39" s="32">
        <v>24.1</v>
      </c>
      <c r="O39" s="9">
        <v>1.3</v>
      </c>
    </row>
    <row r="40" spans="1:19" ht="15.75" thickBot="1">
      <c r="A40" s="10">
        <v>1951</v>
      </c>
      <c r="B40" s="3">
        <v>25.4</v>
      </c>
      <c r="C40" s="3">
        <v>25.7</v>
      </c>
      <c r="D40" s="3">
        <v>25.8</v>
      </c>
      <c r="E40" s="3">
        <v>25.8</v>
      </c>
      <c r="F40" s="3">
        <v>25.9</v>
      </c>
      <c r="G40" s="3">
        <v>25.9</v>
      </c>
      <c r="H40" s="3">
        <v>25.9</v>
      </c>
      <c r="I40" s="3">
        <v>25.9</v>
      </c>
      <c r="J40" s="3">
        <v>26.1</v>
      </c>
      <c r="K40" s="3">
        <v>26.2</v>
      </c>
      <c r="L40" s="3">
        <v>26.4</v>
      </c>
      <c r="M40" s="3">
        <v>26.5</v>
      </c>
      <c r="N40" s="33">
        <v>26</v>
      </c>
      <c r="O40" s="11">
        <v>7.9</v>
      </c>
    </row>
    <row r="41" spans="1:19" ht="15.75" thickBot="1">
      <c r="A41" s="8">
        <v>1952</v>
      </c>
      <c r="B41" s="4">
        <v>26.5</v>
      </c>
      <c r="C41" s="4">
        <v>26.3</v>
      </c>
      <c r="D41" s="4">
        <v>26.3</v>
      </c>
      <c r="E41" s="4">
        <v>26.4</v>
      </c>
      <c r="F41" s="4">
        <v>26.4</v>
      </c>
      <c r="G41" s="4">
        <v>26.5</v>
      </c>
      <c r="H41" s="4">
        <v>26.7</v>
      </c>
      <c r="I41" s="4">
        <v>26.7</v>
      </c>
      <c r="J41" s="4">
        <v>26.7</v>
      </c>
      <c r="K41" s="4">
        <v>26.7</v>
      </c>
      <c r="L41" s="4">
        <v>26.7</v>
      </c>
      <c r="M41" s="4">
        <v>26.7</v>
      </c>
      <c r="N41" s="32">
        <v>26.5</v>
      </c>
      <c r="O41" s="9">
        <v>1.9</v>
      </c>
    </row>
    <row r="42" spans="1:19" ht="15.75" thickBot="1">
      <c r="A42" s="10">
        <v>1953</v>
      </c>
      <c r="B42" s="3">
        <v>26.6</v>
      </c>
      <c r="C42" s="3">
        <v>26.5</v>
      </c>
      <c r="D42" s="3">
        <v>26.6</v>
      </c>
      <c r="E42" s="3">
        <v>26.6</v>
      </c>
      <c r="F42" s="3">
        <v>26.7</v>
      </c>
      <c r="G42" s="3">
        <v>26.8</v>
      </c>
      <c r="H42" s="3">
        <v>26.8</v>
      </c>
      <c r="I42" s="3">
        <v>26.9</v>
      </c>
      <c r="J42" s="3">
        <v>26.9</v>
      </c>
      <c r="K42" s="3">
        <v>27</v>
      </c>
      <c r="L42" s="3">
        <v>26.9</v>
      </c>
      <c r="M42" s="3">
        <v>26.9</v>
      </c>
      <c r="N42" s="33">
        <v>26.7</v>
      </c>
      <c r="O42" s="11">
        <v>0.8</v>
      </c>
    </row>
    <row r="43" spans="1:19" ht="15.75" thickBot="1">
      <c r="A43" s="8">
        <v>1954</v>
      </c>
      <c r="B43" s="4">
        <v>26.9</v>
      </c>
      <c r="C43" s="4">
        <v>26.9</v>
      </c>
      <c r="D43" s="4">
        <v>26.9</v>
      </c>
      <c r="E43" s="4">
        <v>26.8</v>
      </c>
      <c r="F43" s="4">
        <v>26.9</v>
      </c>
      <c r="G43" s="4">
        <v>26.9</v>
      </c>
      <c r="H43" s="4">
        <v>26.9</v>
      </c>
      <c r="I43" s="4">
        <v>26.9</v>
      </c>
      <c r="J43" s="4">
        <v>26.8</v>
      </c>
      <c r="K43" s="4">
        <v>26.8</v>
      </c>
      <c r="L43" s="4">
        <v>26.8</v>
      </c>
      <c r="M43" s="4">
        <v>26.7</v>
      </c>
      <c r="N43" s="32">
        <v>26.9</v>
      </c>
      <c r="O43" s="9">
        <v>0.7</v>
      </c>
    </row>
    <row r="44" spans="1:19" ht="15.75" thickBot="1">
      <c r="A44" s="10">
        <v>1955</v>
      </c>
      <c r="B44" s="3">
        <v>26.7</v>
      </c>
      <c r="C44" s="3">
        <v>26.7</v>
      </c>
      <c r="D44" s="3">
        <v>26.7</v>
      </c>
      <c r="E44" s="3">
        <v>26.7</v>
      </c>
      <c r="F44" s="3">
        <v>26.7</v>
      </c>
      <c r="G44" s="3">
        <v>26.7</v>
      </c>
      <c r="H44" s="3">
        <v>26.8</v>
      </c>
      <c r="I44" s="3">
        <v>26.8</v>
      </c>
      <c r="J44" s="3">
        <v>26.9</v>
      </c>
      <c r="K44" s="3">
        <v>26.9</v>
      </c>
      <c r="L44" s="3">
        <v>26.9</v>
      </c>
      <c r="M44" s="3">
        <v>26.8</v>
      </c>
      <c r="N44" s="33">
        <v>26.8</v>
      </c>
      <c r="O44" s="11">
        <v>-0.4</v>
      </c>
    </row>
    <row r="45" spans="1:19" ht="15.75" thickBot="1">
      <c r="A45" s="8">
        <v>1956</v>
      </c>
      <c r="B45" s="4">
        <v>26.8</v>
      </c>
      <c r="C45" s="4">
        <v>26.8</v>
      </c>
      <c r="D45" s="4">
        <v>26.8</v>
      </c>
      <c r="E45" s="4">
        <v>26.9</v>
      </c>
      <c r="F45" s="4">
        <v>27</v>
      </c>
      <c r="G45" s="4">
        <v>27.2</v>
      </c>
      <c r="H45" s="4">
        <v>27.4</v>
      </c>
      <c r="I45" s="4">
        <v>27.3</v>
      </c>
      <c r="J45" s="4">
        <v>27.4</v>
      </c>
      <c r="K45" s="4">
        <v>27.5</v>
      </c>
      <c r="L45" s="4">
        <v>27.5</v>
      </c>
      <c r="M45" s="4">
        <v>27.6</v>
      </c>
      <c r="N45" s="32">
        <v>27.2</v>
      </c>
      <c r="O45" s="9">
        <v>1.5</v>
      </c>
    </row>
    <row r="46" spans="1:19" ht="15.75" thickBot="1">
      <c r="A46" s="10">
        <v>1957</v>
      </c>
      <c r="B46" s="3">
        <v>27.6</v>
      </c>
      <c r="C46" s="3">
        <v>27.7</v>
      </c>
      <c r="D46" s="3">
        <v>27.8</v>
      </c>
      <c r="E46" s="3">
        <v>27.9</v>
      </c>
      <c r="F46" s="3">
        <v>28</v>
      </c>
      <c r="G46" s="3">
        <v>28.1</v>
      </c>
      <c r="H46" s="3">
        <v>28.3</v>
      </c>
      <c r="I46" s="3">
        <v>28.3</v>
      </c>
      <c r="J46" s="3">
        <v>28.3</v>
      </c>
      <c r="K46" s="3">
        <v>28.3</v>
      </c>
      <c r="L46" s="3">
        <v>28.4</v>
      </c>
      <c r="M46" s="3">
        <v>28.4</v>
      </c>
      <c r="N46" s="33">
        <v>28.1</v>
      </c>
      <c r="O46" s="11">
        <v>3.3</v>
      </c>
    </row>
    <row r="47" spans="1:19" ht="15.75" thickBot="1">
      <c r="A47" s="8">
        <v>1958</v>
      </c>
      <c r="B47" s="4">
        <v>28.6</v>
      </c>
      <c r="C47" s="4">
        <v>28.6</v>
      </c>
      <c r="D47" s="4">
        <v>28.8</v>
      </c>
      <c r="E47" s="4">
        <v>28.9</v>
      </c>
      <c r="F47" s="4">
        <v>28.9</v>
      </c>
      <c r="G47" s="4">
        <v>28.9</v>
      </c>
      <c r="H47" s="4">
        <v>29</v>
      </c>
      <c r="I47" s="4">
        <v>28.9</v>
      </c>
      <c r="J47" s="4">
        <v>28.9</v>
      </c>
      <c r="K47" s="4">
        <v>28.9</v>
      </c>
      <c r="L47" s="4">
        <v>29</v>
      </c>
      <c r="M47" s="4">
        <v>28.9</v>
      </c>
      <c r="N47" s="32">
        <v>28.9</v>
      </c>
      <c r="O47" s="9">
        <v>2.8</v>
      </c>
    </row>
    <row r="48" spans="1:19" ht="15.75" thickBot="1">
      <c r="A48" s="10">
        <v>1959</v>
      </c>
      <c r="B48" s="3">
        <v>29</v>
      </c>
      <c r="C48" s="3">
        <v>28.9</v>
      </c>
      <c r="D48" s="3">
        <v>28.9</v>
      </c>
      <c r="E48" s="3">
        <v>29</v>
      </c>
      <c r="F48" s="3">
        <v>29</v>
      </c>
      <c r="G48" s="3">
        <v>29.1</v>
      </c>
      <c r="H48" s="3">
        <v>29.2</v>
      </c>
      <c r="I48" s="3">
        <v>29.2</v>
      </c>
      <c r="J48" s="3">
        <v>29.3</v>
      </c>
      <c r="K48" s="3">
        <v>29.4</v>
      </c>
      <c r="L48" s="3">
        <v>29.4</v>
      </c>
      <c r="M48" s="3">
        <v>29.4</v>
      </c>
      <c r="N48" s="33">
        <v>29.1</v>
      </c>
      <c r="O48" s="11">
        <v>0.7</v>
      </c>
    </row>
    <row r="49" spans="1:15" ht="15.75" thickBot="1">
      <c r="A49" s="8">
        <v>1960</v>
      </c>
      <c r="B49" s="4">
        <v>29.3</v>
      </c>
      <c r="C49" s="4">
        <v>29.4</v>
      </c>
      <c r="D49" s="4">
        <v>29.4</v>
      </c>
      <c r="E49" s="4">
        <v>29.5</v>
      </c>
      <c r="F49" s="4">
        <v>29.5</v>
      </c>
      <c r="G49" s="4">
        <v>29.6</v>
      </c>
      <c r="H49" s="4">
        <v>29.6</v>
      </c>
      <c r="I49" s="4">
        <v>29.6</v>
      </c>
      <c r="J49" s="4">
        <v>29.6</v>
      </c>
      <c r="K49" s="4">
        <v>29.8</v>
      </c>
      <c r="L49" s="4">
        <v>29.8</v>
      </c>
      <c r="M49" s="4">
        <v>29.8</v>
      </c>
      <c r="N49" s="32">
        <v>29.6</v>
      </c>
      <c r="O49" s="9">
        <v>1.7</v>
      </c>
    </row>
    <row r="50" spans="1:15" ht="15.75" thickBot="1">
      <c r="A50" s="10">
        <v>1961</v>
      </c>
      <c r="B50" s="3">
        <v>29.8</v>
      </c>
      <c r="C50" s="3">
        <v>29.8</v>
      </c>
      <c r="D50" s="3">
        <v>29.8</v>
      </c>
      <c r="E50" s="3">
        <v>29.8</v>
      </c>
      <c r="F50" s="3">
        <v>29.8</v>
      </c>
      <c r="G50" s="3">
        <v>29.8</v>
      </c>
      <c r="H50" s="3">
        <v>30</v>
      </c>
      <c r="I50" s="3">
        <v>29.9</v>
      </c>
      <c r="J50" s="3">
        <v>30</v>
      </c>
      <c r="K50" s="3">
        <v>30</v>
      </c>
      <c r="L50" s="3">
        <v>30</v>
      </c>
      <c r="M50" s="3">
        <v>30</v>
      </c>
      <c r="N50" s="33">
        <v>29.9</v>
      </c>
      <c r="O50" s="11">
        <v>1</v>
      </c>
    </row>
    <row r="51" spans="1:15" ht="15.75" thickBot="1">
      <c r="A51" s="8">
        <v>1962</v>
      </c>
      <c r="B51" s="4">
        <v>30</v>
      </c>
      <c r="C51" s="4">
        <v>30.1</v>
      </c>
      <c r="D51" s="4">
        <v>30.1</v>
      </c>
      <c r="E51" s="4">
        <v>30.2</v>
      </c>
      <c r="F51" s="4">
        <v>30.2</v>
      </c>
      <c r="G51" s="4">
        <v>30.2</v>
      </c>
      <c r="H51" s="4">
        <v>30.3</v>
      </c>
      <c r="I51" s="4">
        <v>30.3</v>
      </c>
      <c r="J51" s="4">
        <v>30.4</v>
      </c>
      <c r="K51" s="4">
        <v>30.4</v>
      </c>
      <c r="L51" s="4">
        <v>30.4</v>
      </c>
      <c r="M51" s="4">
        <v>30.4</v>
      </c>
      <c r="N51" s="32">
        <v>30.2</v>
      </c>
      <c r="O51" s="9">
        <v>1</v>
      </c>
    </row>
    <row r="52" spans="1:15" ht="15.75" thickBot="1">
      <c r="A52" s="10">
        <v>1963</v>
      </c>
      <c r="B52" s="3">
        <v>30.4</v>
      </c>
      <c r="C52" s="3">
        <v>30.4</v>
      </c>
      <c r="D52" s="3">
        <v>30.5</v>
      </c>
      <c r="E52" s="3">
        <v>30.5</v>
      </c>
      <c r="F52" s="3">
        <v>30.5</v>
      </c>
      <c r="G52" s="3">
        <v>30.6</v>
      </c>
      <c r="H52" s="3">
        <v>30.7</v>
      </c>
      <c r="I52" s="3">
        <v>30.7</v>
      </c>
      <c r="J52" s="3">
        <v>30.7</v>
      </c>
      <c r="K52" s="3">
        <v>30.8</v>
      </c>
      <c r="L52" s="3">
        <v>30.8</v>
      </c>
      <c r="M52" s="3">
        <v>30.9</v>
      </c>
      <c r="N52" s="33">
        <v>30.6</v>
      </c>
      <c r="O52" s="11">
        <v>1.3</v>
      </c>
    </row>
    <row r="53" spans="1:15" ht="15.75" thickBot="1">
      <c r="A53" s="8">
        <v>1964</v>
      </c>
      <c r="B53" s="4">
        <v>30.9</v>
      </c>
      <c r="C53" s="4">
        <v>30.9</v>
      </c>
      <c r="D53" s="4">
        <v>30.9</v>
      </c>
      <c r="E53" s="4">
        <v>30.9</v>
      </c>
      <c r="F53" s="4">
        <v>30.9</v>
      </c>
      <c r="G53" s="4">
        <v>31</v>
      </c>
      <c r="H53" s="4">
        <v>31.1</v>
      </c>
      <c r="I53" s="4">
        <v>31</v>
      </c>
      <c r="J53" s="4">
        <v>31.1</v>
      </c>
      <c r="K53" s="4">
        <v>31.1</v>
      </c>
      <c r="L53" s="4">
        <v>31.2</v>
      </c>
      <c r="M53" s="4">
        <v>31.2</v>
      </c>
      <c r="N53" s="32">
        <v>31</v>
      </c>
      <c r="O53" s="9">
        <v>1.3</v>
      </c>
    </row>
    <row r="54" spans="1:15" ht="15.75" thickBot="1">
      <c r="A54" s="10">
        <v>1965</v>
      </c>
      <c r="B54" s="3">
        <v>31.2</v>
      </c>
      <c r="C54" s="3">
        <v>31.2</v>
      </c>
      <c r="D54" s="3">
        <v>31.3</v>
      </c>
      <c r="E54" s="3">
        <v>31.4</v>
      </c>
      <c r="F54" s="3">
        <v>31.4</v>
      </c>
      <c r="G54" s="3">
        <v>31.6</v>
      </c>
      <c r="H54" s="3">
        <v>31.6</v>
      </c>
      <c r="I54" s="3">
        <v>31.6</v>
      </c>
      <c r="J54" s="3">
        <v>31.6</v>
      </c>
      <c r="K54" s="3">
        <v>31.7</v>
      </c>
      <c r="L54" s="3">
        <v>31.7</v>
      </c>
      <c r="M54" s="3">
        <v>31.8</v>
      </c>
      <c r="N54" s="33">
        <v>31.5</v>
      </c>
      <c r="O54" s="11">
        <v>1.6</v>
      </c>
    </row>
    <row r="55" spans="1:15" ht="15.75" thickBot="1">
      <c r="A55" s="8">
        <v>1966</v>
      </c>
      <c r="B55" s="4">
        <v>31.8</v>
      </c>
      <c r="C55" s="4">
        <v>32</v>
      </c>
      <c r="D55" s="4">
        <v>32.1</v>
      </c>
      <c r="E55" s="4">
        <v>32.299999999999997</v>
      </c>
      <c r="F55" s="4">
        <v>32.299999999999997</v>
      </c>
      <c r="G55" s="4">
        <v>32.4</v>
      </c>
      <c r="H55" s="4">
        <v>32.5</v>
      </c>
      <c r="I55" s="4">
        <v>32.700000000000003</v>
      </c>
      <c r="J55" s="4">
        <v>32.700000000000003</v>
      </c>
      <c r="K55" s="4">
        <v>32.9</v>
      </c>
      <c r="L55" s="4">
        <v>32.9</v>
      </c>
      <c r="M55" s="4">
        <v>32.9</v>
      </c>
      <c r="N55" s="32">
        <v>32.4</v>
      </c>
      <c r="O55" s="9">
        <v>2.9</v>
      </c>
    </row>
    <row r="56" spans="1:15" ht="15.75" thickBot="1">
      <c r="A56" s="10">
        <v>1967</v>
      </c>
      <c r="B56" s="3">
        <v>32.9</v>
      </c>
      <c r="C56" s="3">
        <v>32.9</v>
      </c>
      <c r="D56" s="3">
        <v>33</v>
      </c>
      <c r="E56" s="3">
        <v>33.1</v>
      </c>
      <c r="F56" s="3">
        <v>33.200000000000003</v>
      </c>
      <c r="G56" s="3">
        <v>33.299999999999997</v>
      </c>
      <c r="H56" s="3">
        <v>33.4</v>
      </c>
      <c r="I56" s="3">
        <v>33.5</v>
      </c>
      <c r="J56" s="3">
        <v>33.6</v>
      </c>
      <c r="K56" s="3">
        <v>33.700000000000003</v>
      </c>
      <c r="L56" s="3">
        <v>33.799999999999997</v>
      </c>
      <c r="M56" s="3">
        <v>33.9</v>
      </c>
      <c r="N56" s="33">
        <v>33.4</v>
      </c>
      <c r="O56" s="11">
        <v>3.1</v>
      </c>
    </row>
    <row r="57" spans="1:15" ht="15.75" thickBot="1">
      <c r="A57" s="8">
        <v>1968</v>
      </c>
      <c r="B57" s="4">
        <v>34.1</v>
      </c>
      <c r="C57" s="4">
        <v>34.200000000000003</v>
      </c>
      <c r="D57" s="4">
        <v>34.299999999999997</v>
      </c>
      <c r="E57" s="4">
        <v>34.4</v>
      </c>
      <c r="F57" s="4">
        <v>34.5</v>
      </c>
      <c r="G57" s="4">
        <v>34.700000000000003</v>
      </c>
      <c r="H57" s="4">
        <v>34.9</v>
      </c>
      <c r="I57" s="4">
        <v>35</v>
      </c>
      <c r="J57" s="4">
        <v>35.1</v>
      </c>
      <c r="K57" s="4">
        <v>35.299999999999997</v>
      </c>
      <c r="L57" s="4">
        <v>35.4</v>
      </c>
      <c r="M57" s="4">
        <v>35.5</v>
      </c>
      <c r="N57" s="32">
        <v>34.799999999999997</v>
      </c>
      <c r="O57" s="9">
        <v>4.2</v>
      </c>
    </row>
    <row r="58" spans="1:15" ht="15.75" thickBot="1">
      <c r="A58" s="10">
        <v>1969</v>
      </c>
      <c r="B58" s="3">
        <v>35.6</v>
      </c>
      <c r="C58" s="3">
        <v>35.799999999999997</v>
      </c>
      <c r="D58" s="3">
        <v>36.1</v>
      </c>
      <c r="E58" s="3">
        <v>36.299999999999997</v>
      </c>
      <c r="F58" s="3">
        <v>36.4</v>
      </c>
      <c r="G58" s="3">
        <v>36.6</v>
      </c>
      <c r="H58" s="3">
        <v>36.799999999999997</v>
      </c>
      <c r="I58" s="3">
        <v>37</v>
      </c>
      <c r="J58" s="3">
        <v>37.1</v>
      </c>
      <c r="K58" s="3">
        <v>37.299999999999997</v>
      </c>
      <c r="L58" s="3">
        <v>37.5</v>
      </c>
      <c r="M58" s="3">
        <v>37.700000000000003</v>
      </c>
      <c r="N58" s="33">
        <v>36.700000000000003</v>
      </c>
      <c r="O58" s="11">
        <v>5.5</v>
      </c>
    </row>
    <row r="59" spans="1:15" ht="15.75" thickBot="1">
      <c r="A59" s="8">
        <v>1970</v>
      </c>
      <c r="B59" s="4">
        <v>37.799999999999997</v>
      </c>
      <c r="C59" s="4">
        <v>38</v>
      </c>
      <c r="D59" s="4">
        <v>38.200000000000003</v>
      </c>
      <c r="E59" s="4">
        <v>38.5</v>
      </c>
      <c r="F59" s="4">
        <v>38.6</v>
      </c>
      <c r="G59" s="4">
        <v>38.799999999999997</v>
      </c>
      <c r="H59" s="4">
        <v>39</v>
      </c>
      <c r="I59" s="4">
        <v>39</v>
      </c>
      <c r="J59" s="4">
        <v>39.200000000000003</v>
      </c>
      <c r="K59" s="4">
        <v>39.4</v>
      </c>
      <c r="L59" s="4">
        <v>39.6</v>
      </c>
      <c r="M59" s="4">
        <v>39.799999999999997</v>
      </c>
      <c r="N59" s="32">
        <v>38.799999999999997</v>
      </c>
      <c r="O59" s="9">
        <v>5.7</v>
      </c>
    </row>
    <row r="60" spans="1:15" ht="15.75" thickBot="1">
      <c r="A60" s="10">
        <v>1971</v>
      </c>
      <c r="B60" s="3">
        <v>39.799999999999997</v>
      </c>
      <c r="C60" s="3">
        <v>39.9</v>
      </c>
      <c r="D60" s="3">
        <v>40</v>
      </c>
      <c r="E60" s="3">
        <v>40.1</v>
      </c>
      <c r="F60" s="3">
        <v>40.299999999999997</v>
      </c>
      <c r="G60" s="3">
        <v>40.6</v>
      </c>
      <c r="H60" s="3">
        <v>40.700000000000003</v>
      </c>
      <c r="I60" s="3">
        <v>40.799999999999997</v>
      </c>
      <c r="J60" s="3">
        <v>40.799999999999997</v>
      </c>
      <c r="K60" s="3">
        <v>40.9</v>
      </c>
      <c r="L60" s="3">
        <v>40.9</v>
      </c>
      <c r="M60" s="3">
        <v>41.1</v>
      </c>
      <c r="N60" s="33">
        <v>40.5</v>
      </c>
      <c r="O60" s="11">
        <v>4.4000000000000004</v>
      </c>
    </row>
    <row r="61" spans="1:15" ht="15.75" thickBot="1">
      <c r="A61" s="8">
        <v>1972</v>
      </c>
      <c r="B61" s="4">
        <v>41.1</v>
      </c>
      <c r="C61" s="4">
        <v>41.3</v>
      </c>
      <c r="D61" s="4">
        <v>41.4</v>
      </c>
      <c r="E61" s="4">
        <v>41.5</v>
      </c>
      <c r="F61" s="4">
        <v>41.6</v>
      </c>
      <c r="G61" s="4">
        <v>41.7</v>
      </c>
      <c r="H61" s="4">
        <v>41.9</v>
      </c>
      <c r="I61" s="4">
        <v>42</v>
      </c>
      <c r="J61" s="4">
        <v>42.1</v>
      </c>
      <c r="K61" s="4">
        <v>42.3</v>
      </c>
      <c r="L61" s="4">
        <v>42.4</v>
      </c>
      <c r="M61" s="4">
        <v>42.5</v>
      </c>
      <c r="N61" s="32">
        <v>41.8</v>
      </c>
      <c r="O61" s="9">
        <v>3.2</v>
      </c>
    </row>
    <row r="62" spans="1:15" ht="15.75" thickBot="1">
      <c r="A62" s="10">
        <v>1973</v>
      </c>
      <c r="B62" s="3">
        <v>42.6</v>
      </c>
      <c r="C62" s="3">
        <v>42.9</v>
      </c>
      <c r="D62" s="3">
        <v>43.3</v>
      </c>
      <c r="E62" s="3">
        <v>43.6</v>
      </c>
      <c r="F62" s="3">
        <v>43.9</v>
      </c>
      <c r="G62" s="3">
        <v>44.2</v>
      </c>
      <c r="H62" s="3">
        <v>44.3</v>
      </c>
      <c r="I62" s="3">
        <v>45.1</v>
      </c>
      <c r="J62" s="3">
        <v>45.2</v>
      </c>
      <c r="K62" s="3">
        <v>45.6</v>
      </c>
      <c r="L62" s="3">
        <v>45.9</v>
      </c>
      <c r="M62" s="3">
        <v>46.2</v>
      </c>
      <c r="N62" s="33">
        <v>44.4</v>
      </c>
      <c r="O62" s="11">
        <v>6.2</v>
      </c>
    </row>
    <row r="63" spans="1:15" ht="15.75" thickBot="1">
      <c r="A63" s="8">
        <v>1974</v>
      </c>
      <c r="B63" s="4">
        <v>46.6</v>
      </c>
      <c r="C63" s="4">
        <v>47.2</v>
      </c>
      <c r="D63" s="4">
        <v>47.8</v>
      </c>
      <c r="E63" s="4">
        <v>48</v>
      </c>
      <c r="F63" s="4">
        <v>48.6</v>
      </c>
      <c r="G63" s="4">
        <v>49</v>
      </c>
      <c r="H63" s="4">
        <v>49.4</v>
      </c>
      <c r="I63" s="4">
        <v>50</v>
      </c>
      <c r="J63" s="4">
        <v>50.6</v>
      </c>
      <c r="K63" s="4">
        <v>51.1</v>
      </c>
      <c r="L63" s="4">
        <v>51.5</v>
      </c>
      <c r="M63" s="4">
        <v>51.9</v>
      </c>
      <c r="N63" s="32">
        <v>49.3</v>
      </c>
      <c r="O63" s="9">
        <v>11</v>
      </c>
    </row>
    <row r="64" spans="1:15" ht="15.75" thickBot="1">
      <c r="A64" s="10">
        <v>1975</v>
      </c>
      <c r="B64" s="3">
        <v>52.1</v>
      </c>
      <c r="C64" s="3">
        <v>52.5</v>
      </c>
      <c r="D64" s="3">
        <v>52.7</v>
      </c>
      <c r="E64" s="3">
        <v>52.9</v>
      </c>
      <c r="F64" s="3">
        <v>53.2</v>
      </c>
      <c r="G64" s="3">
        <v>53.6</v>
      </c>
      <c r="H64" s="3">
        <v>54.2</v>
      </c>
      <c r="I64" s="3">
        <v>54.3</v>
      </c>
      <c r="J64" s="3">
        <v>54.6</v>
      </c>
      <c r="K64" s="3">
        <v>54.9</v>
      </c>
      <c r="L64" s="3">
        <v>55.3</v>
      </c>
      <c r="M64" s="3">
        <v>55.5</v>
      </c>
      <c r="N64" s="33">
        <v>53.8</v>
      </c>
      <c r="O64" s="11">
        <v>9.1</v>
      </c>
    </row>
    <row r="65" spans="1:115" ht="15.75" thickBot="1">
      <c r="A65" s="8">
        <v>1976</v>
      </c>
      <c r="B65" s="4">
        <v>55.6</v>
      </c>
      <c r="C65" s="4">
        <v>55.8</v>
      </c>
      <c r="D65" s="4">
        <v>55.9</v>
      </c>
      <c r="E65" s="4">
        <v>56.1</v>
      </c>
      <c r="F65" s="4">
        <v>56.5</v>
      </c>
      <c r="G65" s="4">
        <v>56.8</v>
      </c>
      <c r="H65" s="4">
        <v>57.1</v>
      </c>
      <c r="I65" s="4">
        <v>57.4</v>
      </c>
      <c r="J65" s="4">
        <v>57.6</v>
      </c>
      <c r="K65" s="4">
        <v>57.9</v>
      </c>
      <c r="L65" s="4">
        <v>58</v>
      </c>
      <c r="M65" s="4">
        <v>58.2</v>
      </c>
      <c r="N65" s="32">
        <v>56.9</v>
      </c>
      <c r="O65" s="9">
        <v>5.8</v>
      </c>
    </row>
    <row r="66" spans="1:115" ht="15.75" thickBot="1">
      <c r="A66" s="10">
        <v>1977</v>
      </c>
      <c r="B66" s="3">
        <v>58.5</v>
      </c>
      <c r="C66" s="3">
        <v>59.1</v>
      </c>
      <c r="D66" s="3">
        <v>59.5</v>
      </c>
      <c r="E66" s="3">
        <v>60</v>
      </c>
      <c r="F66" s="3">
        <v>60.3</v>
      </c>
      <c r="G66" s="3">
        <v>60.7</v>
      </c>
      <c r="H66" s="3">
        <v>61</v>
      </c>
      <c r="I66" s="3">
        <v>61.2</v>
      </c>
      <c r="J66" s="3">
        <v>61.4</v>
      </c>
      <c r="K66" s="3">
        <v>61.6</v>
      </c>
      <c r="L66" s="3">
        <v>61.9</v>
      </c>
      <c r="M66" s="3">
        <v>62.1</v>
      </c>
      <c r="N66" s="33">
        <v>60.6</v>
      </c>
      <c r="O66" s="11">
        <v>6.5</v>
      </c>
    </row>
    <row r="67" spans="1:115" ht="15.75" thickBot="1">
      <c r="A67" s="8">
        <v>1978</v>
      </c>
      <c r="B67" s="4">
        <v>62.5</v>
      </c>
      <c r="C67" s="4">
        <v>62.9</v>
      </c>
      <c r="D67" s="4">
        <v>63.4</v>
      </c>
      <c r="E67" s="4">
        <v>63.9</v>
      </c>
      <c r="F67" s="4">
        <v>64.5</v>
      </c>
      <c r="G67" s="4">
        <v>65.2</v>
      </c>
      <c r="H67" s="4">
        <v>65.7</v>
      </c>
      <c r="I67" s="4">
        <v>66</v>
      </c>
      <c r="J67" s="4">
        <v>66.5</v>
      </c>
      <c r="K67" s="4">
        <v>67.099999999999994</v>
      </c>
      <c r="L67" s="4">
        <v>67.400000000000006</v>
      </c>
      <c r="M67" s="4">
        <v>67.7</v>
      </c>
      <c r="N67" s="32">
        <v>65.2</v>
      </c>
      <c r="O67" s="9">
        <v>7.6</v>
      </c>
    </row>
    <row r="68" spans="1:115" ht="15.75" thickBot="1">
      <c r="A68" s="10">
        <v>1979</v>
      </c>
      <c r="B68" s="3">
        <v>68.3</v>
      </c>
      <c r="C68" s="3">
        <v>69.099999999999994</v>
      </c>
      <c r="D68" s="3">
        <v>69.8</v>
      </c>
      <c r="E68" s="3">
        <v>70.599999999999994</v>
      </c>
      <c r="F68" s="3">
        <v>71.5</v>
      </c>
      <c r="G68" s="3">
        <v>72.3</v>
      </c>
      <c r="H68" s="3">
        <v>73.099999999999994</v>
      </c>
      <c r="I68" s="3">
        <v>73.8</v>
      </c>
      <c r="J68" s="3">
        <v>74.599999999999994</v>
      </c>
      <c r="K68" s="3">
        <v>75.2</v>
      </c>
      <c r="L68" s="3">
        <v>75.900000000000006</v>
      </c>
      <c r="M68" s="3">
        <v>76.7</v>
      </c>
      <c r="N68" s="33">
        <v>72.599999999999994</v>
      </c>
      <c r="O68" s="11">
        <v>11.3</v>
      </c>
    </row>
    <row r="69" spans="1:115" ht="15.75" thickBot="1">
      <c r="A69" s="8">
        <v>1980</v>
      </c>
      <c r="B69" s="4">
        <v>77.8</v>
      </c>
      <c r="C69" s="4">
        <v>78.900000000000006</v>
      </c>
      <c r="D69" s="4">
        <v>80.099999999999994</v>
      </c>
      <c r="E69" s="4">
        <v>81</v>
      </c>
      <c r="F69" s="4">
        <v>81.8</v>
      </c>
      <c r="G69" s="4">
        <v>82.7</v>
      </c>
      <c r="H69" s="4">
        <v>82.7</v>
      </c>
      <c r="I69" s="4">
        <v>83.3</v>
      </c>
      <c r="J69" s="4">
        <v>84</v>
      </c>
      <c r="K69" s="4">
        <v>84.8</v>
      </c>
      <c r="L69" s="4">
        <v>85.5</v>
      </c>
      <c r="M69" s="4">
        <v>86.3</v>
      </c>
      <c r="N69" s="32">
        <v>82.4</v>
      </c>
      <c r="O69" s="9">
        <v>13.5</v>
      </c>
    </row>
    <row r="70" spans="1:115" ht="15.75" thickBot="1">
      <c r="A70" s="10">
        <v>1981</v>
      </c>
      <c r="B70" s="3">
        <v>87</v>
      </c>
      <c r="C70" s="3">
        <v>87.9</v>
      </c>
      <c r="D70" s="3">
        <v>88.5</v>
      </c>
      <c r="E70" s="3">
        <v>89.1</v>
      </c>
      <c r="F70" s="3">
        <v>89.8</v>
      </c>
      <c r="G70" s="3">
        <v>90.6</v>
      </c>
      <c r="H70" s="3">
        <v>91.6</v>
      </c>
      <c r="I70" s="3">
        <v>92.3</v>
      </c>
      <c r="J70" s="3">
        <v>93.2</v>
      </c>
      <c r="K70" s="3">
        <v>93.4</v>
      </c>
      <c r="L70" s="3">
        <v>93.7</v>
      </c>
      <c r="M70" s="3">
        <v>94</v>
      </c>
      <c r="N70" s="33">
        <v>90.9</v>
      </c>
      <c r="O70" s="11">
        <v>10.3</v>
      </c>
    </row>
    <row r="71" spans="1:115" ht="15.75" thickBot="1">
      <c r="A71" s="8">
        <v>1982</v>
      </c>
      <c r="B71" s="4">
        <v>94.3</v>
      </c>
      <c r="C71" s="4">
        <v>94.6</v>
      </c>
      <c r="D71" s="4">
        <v>94.5</v>
      </c>
      <c r="E71" s="4">
        <v>94.9</v>
      </c>
      <c r="F71" s="4">
        <v>95.8</v>
      </c>
      <c r="G71" s="4">
        <v>97</v>
      </c>
      <c r="H71" s="4">
        <v>97.5</v>
      </c>
      <c r="I71" s="4">
        <v>97.7</v>
      </c>
      <c r="J71" s="4">
        <v>97.9</v>
      </c>
      <c r="K71" s="4">
        <v>98.2</v>
      </c>
      <c r="L71" s="4">
        <v>98</v>
      </c>
      <c r="M71" s="4">
        <v>97.6</v>
      </c>
      <c r="N71" s="32">
        <v>96.5</v>
      </c>
      <c r="O71" s="9">
        <v>6.2</v>
      </c>
    </row>
    <row r="72" spans="1:115" ht="15.75" thickBot="1">
      <c r="A72" s="10">
        <v>1983</v>
      </c>
      <c r="B72" s="3">
        <v>97.8</v>
      </c>
      <c r="C72" s="3">
        <v>97.9</v>
      </c>
      <c r="D72" s="3">
        <v>97.9</v>
      </c>
      <c r="E72" s="3">
        <v>98.6</v>
      </c>
      <c r="F72" s="3">
        <v>99.2</v>
      </c>
      <c r="G72" s="3">
        <v>99.5</v>
      </c>
      <c r="H72" s="3">
        <v>99.9</v>
      </c>
      <c r="I72" s="3">
        <v>100.2</v>
      </c>
      <c r="J72" s="3">
        <v>100.7</v>
      </c>
      <c r="K72" s="3">
        <v>101</v>
      </c>
      <c r="L72" s="3">
        <v>101.2</v>
      </c>
      <c r="M72" s="3">
        <v>101.3</v>
      </c>
      <c r="N72" s="33">
        <v>99.6</v>
      </c>
      <c r="O72" s="11">
        <v>3.2</v>
      </c>
    </row>
    <row r="73" spans="1:115" ht="15.75" thickBot="1">
      <c r="A73" s="8">
        <v>1984</v>
      </c>
      <c r="B73" s="4">
        <v>101.9</v>
      </c>
      <c r="C73" s="4">
        <v>102.4</v>
      </c>
      <c r="D73" s="4">
        <v>102.6</v>
      </c>
      <c r="E73" s="4">
        <v>103.1</v>
      </c>
      <c r="F73" s="4">
        <v>103.4</v>
      </c>
      <c r="G73" s="4">
        <v>103.7</v>
      </c>
      <c r="H73" s="4">
        <v>104.1</v>
      </c>
      <c r="I73" s="4">
        <v>104.5</v>
      </c>
      <c r="J73" s="4">
        <v>105</v>
      </c>
      <c r="K73" s="4">
        <v>105.3</v>
      </c>
      <c r="L73" s="4">
        <v>105.3</v>
      </c>
      <c r="M73" s="4">
        <v>105.3</v>
      </c>
      <c r="N73" s="32">
        <v>103.9</v>
      </c>
      <c r="O73" s="9">
        <v>4.3</v>
      </c>
    </row>
    <row r="74" spans="1:115" ht="15.75" thickBot="1">
      <c r="A74" s="10">
        <v>1985</v>
      </c>
      <c r="B74" s="3">
        <v>105.5</v>
      </c>
      <c r="C74" s="3">
        <v>106</v>
      </c>
      <c r="D74" s="3">
        <v>106.4</v>
      </c>
      <c r="E74" s="3">
        <v>106.9</v>
      </c>
      <c r="F74" s="3">
        <v>107.3</v>
      </c>
      <c r="G74" s="3">
        <v>107.6</v>
      </c>
      <c r="H74" s="3">
        <v>107.8</v>
      </c>
      <c r="I74" s="3">
        <v>108</v>
      </c>
      <c r="J74" s="3">
        <v>108.3</v>
      </c>
      <c r="K74" s="3">
        <v>108.7</v>
      </c>
      <c r="L74" s="3">
        <v>109</v>
      </c>
      <c r="M74" s="3">
        <v>109.3</v>
      </c>
      <c r="N74" s="33">
        <v>107.6</v>
      </c>
      <c r="O74" s="11">
        <v>3.6</v>
      </c>
    </row>
    <row r="75" spans="1:115" ht="15.75" thickBot="1">
      <c r="A75" s="8">
        <v>1986</v>
      </c>
      <c r="B75" s="4">
        <v>109.6</v>
      </c>
      <c r="C75" s="4">
        <v>109.3</v>
      </c>
      <c r="D75" s="4">
        <v>108.8</v>
      </c>
      <c r="E75" s="4">
        <v>108.6</v>
      </c>
      <c r="F75" s="4">
        <v>108.9</v>
      </c>
      <c r="G75" s="4">
        <v>109.5</v>
      </c>
      <c r="H75" s="4">
        <v>109.5</v>
      </c>
      <c r="I75" s="4">
        <v>109.7</v>
      </c>
      <c r="J75" s="4">
        <v>110.2</v>
      </c>
      <c r="K75" s="4">
        <v>110.3</v>
      </c>
      <c r="L75" s="4">
        <v>110.4</v>
      </c>
      <c r="M75" s="4">
        <v>110.5</v>
      </c>
      <c r="N75" s="32">
        <v>109.6</v>
      </c>
      <c r="O75" s="9">
        <v>1.9</v>
      </c>
    </row>
    <row r="76" spans="1:115" ht="15.75" thickBot="1">
      <c r="A76" s="10">
        <v>1987</v>
      </c>
      <c r="B76" s="3">
        <v>111.2</v>
      </c>
      <c r="C76" s="3">
        <v>111.6</v>
      </c>
      <c r="D76" s="3">
        <v>112.1</v>
      </c>
      <c r="E76" s="3">
        <v>112.7</v>
      </c>
      <c r="F76" s="3">
        <v>113.1</v>
      </c>
      <c r="G76" s="3">
        <v>113.5</v>
      </c>
      <c r="H76" s="3">
        <v>113.8</v>
      </c>
      <c r="I76" s="3">
        <v>114.4</v>
      </c>
      <c r="J76" s="3">
        <v>115</v>
      </c>
      <c r="K76" s="3">
        <v>115.3</v>
      </c>
      <c r="L76" s="3">
        <v>115.4</v>
      </c>
      <c r="M76" s="3">
        <v>115.4</v>
      </c>
      <c r="N76" s="33">
        <v>113.6</v>
      </c>
      <c r="O76" s="11">
        <v>3.6</v>
      </c>
    </row>
    <row r="77" spans="1:115" ht="15.75" thickBot="1">
      <c r="A77" s="8">
        <v>1988</v>
      </c>
      <c r="B77" s="4">
        <v>115.7</v>
      </c>
      <c r="C77" s="4">
        <v>116</v>
      </c>
      <c r="D77" s="4">
        <v>116.5</v>
      </c>
      <c r="E77" s="4">
        <v>117.1</v>
      </c>
      <c r="F77" s="4">
        <v>117.5</v>
      </c>
      <c r="G77" s="4">
        <v>118</v>
      </c>
      <c r="H77" s="4">
        <v>118.5</v>
      </c>
      <c r="I77" s="4">
        <v>119</v>
      </c>
      <c r="J77" s="4">
        <v>119.8</v>
      </c>
      <c r="K77" s="4">
        <v>120.2</v>
      </c>
      <c r="L77" s="4">
        <v>120.3</v>
      </c>
      <c r="M77" s="4">
        <v>120.5</v>
      </c>
      <c r="N77" s="32">
        <v>118.3</v>
      </c>
      <c r="O77" s="9">
        <v>4.0999999999999996</v>
      </c>
    </row>
    <row r="78" spans="1:115" ht="15.75" thickBot="1">
      <c r="A78" s="10">
        <v>1989</v>
      </c>
      <c r="B78" s="3">
        <v>121.1</v>
      </c>
      <c r="C78" s="3">
        <v>121.6</v>
      </c>
      <c r="D78" s="3">
        <v>122.3</v>
      </c>
      <c r="E78" s="3">
        <v>123.1</v>
      </c>
      <c r="F78" s="3">
        <v>123.8</v>
      </c>
      <c r="G78" s="3">
        <v>124.1</v>
      </c>
      <c r="H78" s="3">
        <v>124.4</v>
      </c>
      <c r="I78" s="3">
        <v>124.6</v>
      </c>
      <c r="J78" s="3">
        <v>125</v>
      </c>
      <c r="K78" s="3">
        <v>125.6</v>
      </c>
      <c r="L78" s="3">
        <v>125.9</v>
      </c>
      <c r="M78" s="3">
        <v>126.1</v>
      </c>
      <c r="N78" s="33">
        <v>124</v>
      </c>
      <c r="O78" s="11">
        <v>4.8</v>
      </c>
    </row>
    <row r="79" spans="1:115" ht="15.75" thickBot="1">
      <c r="A79" s="8">
        <v>1990</v>
      </c>
      <c r="B79" s="4">
        <v>127.4</v>
      </c>
      <c r="C79" s="4">
        <v>128</v>
      </c>
      <c r="D79" s="4">
        <v>128.69999999999999</v>
      </c>
      <c r="E79" s="4">
        <v>128.9</v>
      </c>
      <c r="F79" s="4">
        <v>129.19999999999999</v>
      </c>
      <c r="G79" s="4">
        <v>129.9</v>
      </c>
      <c r="H79" s="4">
        <v>130.4</v>
      </c>
      <c r="I79" s="4">
        <v>131.6</v>
      </c>
      <c r="J79" s="4">
        <v>132.69999999999999</v>
      </c>
      <c r="K79" s="4">
        <v>133.5</v>
      </c>
      <c r="L79" s="4">
        <v>133.80000000000001</v>
      </c>
      <c r="M79" s="4">
        <v>133.80000000000001</v>
      </c>
      <c r="N79" s="32">
        <v>130.69999999999999</v>
      </c>
      <c r="O79" s="9">
        <v>5.4</v>
      </c>
      <c r="R79" s="16" t="s">
        <v>23</v>
      </c>
      <c r="S79" s="75">
        <v>2019</v>
      </c>
      <c r="T79" s="75">
        <v>2020</v>
      </c>
      <c r="U79" s="16">
        <v>2021</v>
      </c>
      <c r="V79" s="75">
        <v>2022</v>
      </c>
      <c r="W79" s="75">
        <v>2023</v>
      </c>
      <c r="X79" s="75">
        <v>2024</v>
      </c>
      <c r="Y79" s="75">
        <v>2025</v>
      </c>
      <c r="Z79" s="75">
        <v>2026</v>
      </c>
      <c r="AA79" s="16">
        <v>2027</v>
      </c>
      <c r="AB79" s="75">
        <v>2028</v>
      </c>
      <c r="AC79" s="75">
        <v>2029</v>
      </c>
      <c r="AD79" s="75">
        <v>2030</v>
      </c>
      <c r="AE79" s="75">
        <v>2031</v>
      </c>
      <c r="AF79" s="159">
        <v>2032</v>
      </c>
      <c r="AG79" s="159">
        <v>2033</v>
      </c>
      <c r="AH79" s="159">
        <v>2034</v>
      </c>
      <c r="AI79" s="159">
        <v>2035</v>
      </c>
      <c r="AJ79" s="159">
        <v>2036</v>
      </c>
      <c r="AK79" s="159">
        <v>2037</v>
      </c>
      <c r="AL79" s="159">
        <v>2038</v>
      </c>
      <c r="AM79" s="159">
        <v>2039</v>
      </c>
      <c r="AN79" s="159">
        <v>2040</v>
      </c>
      <c r="AO79" s="159">
        <v>2041</v>
      </c>
      <c r="AP79" s="159">
        <v>2042</v>
      </c>
      <c r="AQ79" s="159">
        <v>2043</v>
      </c>
      <c r="AR79" s="159">
        <v>2044</v>
      </c>
      <c r="AS79" s="159">
        <v>2045</v>
      </c>
      <c r="AT79" s="159">
        <v>2046</v>
      </c>
      <c r="AU79" s="159">
        <v>2047</v>
      </c>
      <c r="AV79" s="159">
        <v>2048</v>
      </c>
      <c r="AW79" s="159">
        <v>2049</v>
      </c>
      <c r="AX79" s="159">
        <v>2050</v>
      </c>
      <c r="AY79" s="159">
        <v>2051</v>
      </c>
      <c r="AZ79" s="159">
        <v>2052</v>
      </c>
      <c r="BA79" s="159">
        <v>2053</v>
      </c>
      <c r="BB79" s="159">
        <v>2054</v>
      </c>
      <c r="BC79" s="159">
        <v>2055</v>
      </c>
      <c r="BD79" s="159">
        <v>2056</v>
      </c>
      <c r="BE79" s="159">
        <v>2057</v>
      </c>
      <c r="BF79" s="159">
        <v>2058</v>
      </c>
      <c r="BG79" s="159">
        <v>2059</v>
      </c>
      <c r="BH79" s="159">
        <v>2060</v>
      </c>
      <c r="BI79" s="159">
        <v>2061</v>
      </c>
      <c r="BJ79" s="159">
        <v>2062</v>
      </c>
      <c r="BK79" s="159">
        <v>2063</v>
      </c>
      <c r="BL79" s="159">
        <v>2064</v>
      </c>
      <c r="BM79" s="159">
        <v>2065</v>
      </c>
      <c r="BN79" s="159">
        <v>2066</v>
      </c>
      <c r="BO79" s="159">
        <v>2067</v>
      </c>
      <c r="BP79" s="159">
        <v>2068</v>
      </c>
      <c r="BQ79" s="159">
        <v>2069</v>
      </c>
      <c r="BR79" s="159">
        <v>2070</v>
      </c>
      <c r="BS79" s="159">
        <v>2071</v>
      </c>
      <c r="BT79" s="159">
        <v>2072</v>
      </c>
      <c r="BU79" s="159">
        <v>2073</v>
      </c>
      <c r="BV79" s="159">
        <v>2074</v>
      </c>
      <c r="BW79" s="159">
        <v>2075</v>
      </c>
      <c r="BX79" s="159">
        <v>2076</v>
      </c>
      <c r="BY79" s="159">
        <v>2077</v>
      </c>
      <c r="BZ79" s="159">
        <v>2078</v>
      </c>
      <c r="CA79" s="159">
        <v>2079</v>
      </c>
      <c r="CB79" s="159">
        <v>2080</v>
      </c>
      <c r="CC79" s="159">
        <v>2081</v>
      </c>
      <c r="CD79" s="159">
        <v>2082</v>
      </c>
      <c r="CE79" s="159">
        <v>2083</v>
      </c>
      <c r="CF79" s="159">
        <v>2084</v>
      </c>
      <c r="CG79" s="159">
        <v>2085</v>
      </c>
      <c r="CH79" s="159">
        <v>2086</v>
      </c>
      <c r="CI79" s="159">
        <v>2087</v>
      </c>
      <c r="CJ79" s="159">
        <v>2088</v>
      </c>
      <c r="CK79" s="159">
        <v>2089</v>
      </c>
      <c r="CL79" s="159">
        <v>2090</v>
      </c>
      <c r="CM79" s="159">
        <v>2091</v>
      </c>
      <c r="CN79" s="159">
        <v>2092</v>
      </c>
      <c r="CO79" s="159">
        <v>2093</v>
      </c>
      <c r="CP79" s="159">
        <v>2094</v>
      </c>
      <c r="CQ79" s="159">
        <v>2095</v>
      </c>
      <c r="CR79" s="159">
        <v>2096</v>
      </c>
      <c r="CS79" s="159">
        <v>2097</v>
      </c>
      <c r="CT79" s="159">
        <v>2098</v>
      </c>
      <c r="CU79" s="159">
        <v>2099</v>
      </c>
      <c r="CV79" s="159">
        <v>2100</v>
      </c>
      <c r="CW79" s="159">
        <v>2101</v>
      </c>
      <c r="CX79" s="159">
        <v>2102</v>
      </c>
      <c r="CY79" s="159">
        <v>2103</v>
      </c>
      <c r="CZ79" s="159">
        <v>2104</v>
      </c>
      <c r="DA79" s="159">
        <v>2105</v>
      </c>
      <c r="DB79" s="159">
        <v>2106</v>
      </c>
      <c r="DC79" s="159">
        <v>2107</v>
      </c>
      <c r="DD79" s="159">
        <v>2108</v>
      </c>
      <c r="DE79" s="159">
        <v>2109</v>
      </c>
      <c r="DF79" s="159">
        <v>2110</v>
      </c>
      <c r="DG79" s="159">
        <v>2111</v>
      </c>
      <c r="DH79" s="159">
        <v>2112</v>
      </c>
      <c r="DI79" s="159">
        <v>2113</v>
      </c>
      <c r="DJ79" s="159">
        <v>2114</v>
      </c>
      <c r="DK79" s="159">
        <v>2115</v>
      </c>
    </row>
    <row r="80" spans="1:115" ht="15.75" thickBot="1">
      <c r="A80" s="10">
        <v>1991</v>
      </c>
      <c r="B80" s="3">
        <v>134.6</v>
      </c>
      <c r="C80" s="3">
        <v>134.80000000000001</v>
      </c>
      <c r="D80" s="3">
        <v>135</v>
      </c>
      <c r="E80" s="3">
        <v>135.19999999999999</v>
      </c>
      <c r="F80" s="3">
        <v>135.6</v>
      </c>
      <c r="G80" s="3">
        <v>136</v>
      </c>
      <c r="H80" s="3">
        <v>136.19999999999999</v>
      </c>
      <c r="I80" s="3">
        <v>136.6</v>
      </c>
      <c r="J80" s="3">
        <v>137.19999999999999</v>
      </c>
      <c r="K80" s="3">
        <v>137.4</v>
      </c>
      <c r="L80" s="3">
        <v>137.80000000000001</v>
      </c>
      <c r="M80" s="3">
        <v>137.9</v>
      </c>
      <c r="N80" s="33">
        <v>136.19999999999999</v>
      </c>
      <c r="O80" s="11">
        <v>4.2</v>
      </c>
      <c r="R80" s="16" t="s">
        <v>21</v>
      </c>
      <c r="S80" s="75">
        <f t="shared" ref="S80:T80" si="0">S79-1970</f>
        <v>49</v>
      </c>
      <c r="T80" s="75">
        <f t="shared" si="0"/>
        <v>50</v>
      </c>
      <c r="U80" s="26">
        <f>U79-1970</f>
        <v>51</v>
      </c>
      <c r="V80" s="75">
        <f t="shared" ref="V80:Z80" si="1">V79-1970</f>
        <v>52</v>
      </c>
      <c r="W80" s="75">
        <f t="shared" si="1"/>
        <v>53</v>
      </c>
      <c r="X80" s="75">
        <f t="shared" si="1"/>
        <v>54</v>
      </c>
      <c r="Y80" s="75">
        <f t="shared" si="1"/>
        <v>55</v>
      </c>
      <c r="Z80" s="75">
        <f t="shared" si="1"/>
        <v>56</v>
      </c>
      <c r="AA80" s="16">
        <f>AA79-1970</f>
        <v>57</v>
      </c>
      <c r="AB80" s="75">
        <f t="shared" ref="AB80:AD80" si="2">AB79-1970</f>
        <v>58</v>
      </c>
      <c r="AC80" s="75">
        <f t="shared" si="2"/>
        <v>59</v>
      </c>
      <c r="AD80" s="75">
        <f t="shared" si="2"/>
        <v>60</v>
      </c>
      <c r="AE80" s="26">
        <f>AE79-1970</f>
        <v>61</v>
      </c>
      <c r="AF80" s="159">
        <f t="shared" ref="AF80:CQ80" si="3">AF79-1970</f>
        <v>62</v>
      </c>
      <c r="AG80" s="159">
        <f t="shared" si="3"/>
        <v>63</v>
      </c>
      <c r="AH80" s="159">
        <f t="shared" si="3"/>
        <v>64</v>
      </c>
      <c r="AI80" s="159">
        <f t="shared" si="3"/>
        <v>65</v>
      </c>
      <c r="AJ80" s="159">
        <f t="shared" si="3"/>
        <v>66</v>
      </c>
      <c r="AK80" s="159">
        <f t="shared" si="3"/>
        <v>67</v>
      </c>
      <c r="AL80" s="159">
        <f t="shared" si="3"/>
        <v>68</v>
      </c>
      <c r="AM80" s="159">
        <f t="shared" si="3"/>
        <v>69</v>
      </c>
      <c r="AN80" s="159">
        <f t="shared" si="3"/>
        <v>70</v>
      </c>
      <c r="AO80" s="159">
        <f t="shared" si="3"/>
        <v>71</v>
      </c>
      <c r="AP80" s="159">
        <f t="shared" si="3"/>
        <v>72</v>
      </c>
      <c r="AQ80" s="159">
        <f t="shared" si="3"/>
        <v>73</v>
      </c>
      <c r="AR80" s="159">
        <f t="shared" si="3"/>
        <v>74</v>
      </c>
      <c r="AS80" s="159">
        <f t="shared" si="3"/>
        <v>75</v>
      </c>
      <c r="AT80" s="159">
        <f t="shared" si="3"/>
        <v>76</v>
      </c>
      <c r="AU80" s="159">
        <f t="shared" si="3"/>
        <v>77</v>
      </c>
      <c r="AV80" s="159">
        <f t="shared" si="3"/>
        <v>78</v>
      </c>
      <c r="AW80" s="159">
        <f t="shared" si="3"/>
        <v>79</v>
      </c>
      <c r="AX80" s="159">
        <f t="shared" si="3"/>
        <v>80</v>
      </c>
      <c r="AY80" s="159">
        <f t="shared" si="3"/>
        <v>81</v>
      </c>
      <c r="AZ80" s="159">
        <f t="shared" si="3"/>
        <v>82</v>
      </c>
      <c r="BA80" s="159">
        <f t="shared" si="3"/>
        <v>83</v>
      </c>
      <c r="BB80" s="159">
        <f t="shared" si="3"/>
        <v>84</v>
      </c>
      <c r="BC80" s="159">
        <f t="shared" si="3"/>
        <v>85</v>
      </c>
      <c r="BD80" s="159">
        <f t="shared" si="3"/>
        <v>86</v>
      </c>
      <c r="BE80" s="159">
        <f t="shared" si="3"/>
        <v>87</v>
      </c>
      <c r="BF80" s="159">
        <f t="shared" si="3"/>
        <v>88</v>
      </c>
      <c r="BG80" s="159">
        <f t="shared" si="3"/>
        <v>89</v>
      </c>
      <c r="BH80" s="159">
        <f t="shared" si="3"/>
        <v>90</v>
      </c>
      <c r="BI80" s="159">
        <f t="shared" si="3"/>
        <v>91</v>
      </c>
      <c r="BJ80" s="159">
        <f t="shared" si="3"/>
        <v>92</v>
      </c>
      <c r="BK80" s="159">
        <f t="shared" si="3"/>
        <v>93</v>
      </c>
      <c r="BL80" s="159">
        <f t="shared" si="3"/>
        <v>94</v>
      </c>
      <c r="BM80" s="159">
        <f t="shared" si="3"/>
        <v>95</v>
      </c>
      <c r="BN80" s="159">
        <f t="shared" si="3"/>
        <v>96</v>
      </c>
      <c r="BO80" s="159">
        <f t="shared" si="3"/>
        <v>97</v>
      </c>
      <c r="BP80" s="159">
        <f t="shared" si="3"/>
        <v>98</v>
      </c>
      <c r="BQ80" s="159">
        <f t="shared" si="3"/>
        <v>99</v>
      </c>
      <c r="BR80" s="159">
        <f t="shared" si="3"/>
        <v>100</v>
      </c>
      <c r="BS80" s="159">
        <f t="shared" si="3"/>
        <v>101</v>
      </c>
      <c r="BT80" s="159">
        <f t="shared" si="3"/>
        <v>102</v>
      </c>
      <c r="BU80" s="159">
        <f t="shared" si="3"/>
        <v>103</v>
      </c>
      <c r="BV80" s="159">
        <f t="shared" si="3"/>
        <v>104</v>
      </c>
      <c r="BW80" s="159">
        <f t="shared" si="3"/>
        <v>105</v>
      </c>
      <c r="BX80" s="159">
        <f t="shared" si="3"/>
        <v>106</v>
      </c>
      <c r="BY80" s="159">
        <f t="shared" si="3"/>
        <v>107</v>
      </c>
      <c r="BZ80" s="159">
        <f t="shared" si="3"/>
        <v>108</v>
      </c>
      <c r="CA80" s="159">
        <f t="shared" si="3"/>
        <v>109</v>
      </c>
      <c r="CB80" s="159">
        <f t="shared" si="3"/>
        <v>110</v>
      </c>
      <c r="CC80" s="159">
        <f t="shared" si="3"/>
        <v>111</v>
      </c>
      <c r="CD80" s="159">
        <f t="shared" si="3"/>
        <v>112</v>
      </c>
      <c r="CE80" s="159">
        <f t="shared" si="3"/>
        <v>113</v>
      </c>
      <c r="CF80" s="159">
        <f t="shared" si="3"/>
        <v>114</v>
      </c>
      <c r="CG80" s="159">
        <f t="shared" si="3"/>
        <v>115</v>
      </c>
      <c r="CH80" s="159">
        <f t="shared" si="3"/>
        <v>116</v>
      </c>
      <c r="CI80" s="159">
        <f t="shared" si="3"/>
        <v>117</v>
      </c>
      <c r="CJ80" s="159">
        <f t="shared" si="3"/>
        <v>118</v>
      </c>
      <c r="CK80" s="159">
        <f t="shared" si="3"/>
        <v>119</v>
      </c>
      <c r="CL80" s="159">
        <f t="shared" si="3"/>
        <v>120</v>
      </c>
      <c r="CM80" s="159">
        <f t="shared" si="3"/>
        <v>121</v>
      </c>
      <c r="CN80" s="159">
        <f t="shared" si="3"/>
        <v>122</v>
      </c>
      <c r="CO80" s="159">
        <f t="shared" si="3"/>
        <v>123</v>
      </c>
      <c r="CP80" s="159">
        <f t="shared" si="3"/>
        <v>124</v>
      </c>
      <c r="CQ80" s="159">
        <f t="shared" si="3"/>
        <v>125</v>
      </c>
      <c r="CR80" s="159">
        <f t="shared" ref="CR80:DK80" si="4">CR79-1970</f>
        <v>126</v>
      </c>
      <c r="CS80" s="159">
        <f t="shared" si="4"/>
        <v>127</v>
      </c>
      <c r="CT80" s="159">
        <f t="shared" si="4"/>
        <v>128</v>
      </c>
      <c r="CU80" s="159">
        <f t="shared" si="4"/>
        <v>129</v>
      </c>
      <c r="CV80" s="159">
        <f t="shared" si="4"/>
        <v>130</v>
      </c>
      <c r="CW80" s="159">
        <f t="shared" si="4"/>
        <v>131</v>
      </c>
      <c r="CX80" s="159">
        <f t="shared" si="4"/>
        <v>132</v>
      </c>
      <c r="CY80" s="159">
        <f t="shared" si="4"/>
        <v>133</v>
      </c>
      <c r="CZ80" s="159">
        <f t="shared" si="4"/>
        <v>134</v>
      </c>
      <c r="DA80" s="159">
        <f t="shared" si="4"/>
        <v>135</v>
      </c>
      <c r="DB80" s="159">
        <f t="shared" si="4"/>
        <v>136</v>
      </c>
      <c r="DC80" s="159">
        <f t="shared" si="4"/>
        <v>137</v>
      </c>
      <c r="DD80" s="159">
        <f t="shared" si="4"/>
        <v>138</v>
      </c>
      <c r="DE80" s="159">
        <f t="shared" si="4"/>
        <v>139</v>
      </c>
      <c r="DF80" s="159">
        <f t="shared" si="4"/>
        <v>140</v>
      </c>
      <c r="DG80" s="159">
        <f t="shared" si="4"/>
        <v>141</v>
      </c>
      <c r="DH80" s="159">
        <f t="shared" si="4"/>
        <v>142</v>
      </c>
      <c r="DI80" s="159">
        <f t="shared" si="4"/>
        <v>143</v>
      </c>
      <c r="DJ80" s="159">
        <f t="shared" si="4"/>
        <v>144</v>
      </c>
      <c r="DK80" s="159">
        <f t="shared" si="4"/>
        <v>145</v>
      </c>
    </row>
    <row r="81" spans="1:115" ht="15.75" thickBot="1">
      <c r="A81" s="8">
        <v>1992</v>
      </c>
      <c r="B81" s="4">
        <v>138.1</v>
      </c>
      <c r="C81" s="4">
        <v>138.6</v>
      </c>
      <c r="D81" s="4">
        <v>139.30000000000001</v>
      </c>
      <c r="E81" s="4">
        <v>139.5</v>
      </c>
      <c r="F81" s="4">
        <v>139.69999999999999</v>
      </c>
      <c r="G81" s="4">
        <v>140.19999999999999</v>
      </c>
      <c r="H81" s="4">
        <v>140.5</v>
      </c>
      <c r="I81" s="4">
        <v>140.9</v>
      </c>
      <c r="J81" s="4">
        <v>141.30000000000001</v>
      </c>
      <c r="K81" s="4">
        <v>141.80000000000001</v>
      </c>
      <c r="L81" s="4">
        <v>142</v>
      </c>
      <c r="M81" s="4">
        <v>141.9</v>
      </c>
      <c r="N81" s="32">
        <v>140.30000000000001</v>
      </c>
      <c r="O81" s="9">
        <v>3</v>
      </c>
      <c r="R81" s="16" t="s">
        <v>4</v>
      </c>
      <c r="S81" s="75">
        <f t="shared" ref="S81:T81" si="5">(4.5872*S80)+30.742</f>
        <v>255.51480000000001</v>
      </c>
      <c r="T81" s="75">
        <f t="shared" si="5"/>
        <v>260.10200000000003</v>
      </c>
      <c r="U81" s="26">
        <f>(4.5872*U80)+30.742</f>
        <v>264.68920000000003</v>
      </c>
      <c r="V81" s="75">
        <f t="shared" ref="V81:Z81" si="6">(4.5872*V80)+30.742</f>
        <v>269.27640000000002</v>
      </c>
      <c r="W81" s="75">
        <f t="shared" si="6"/>
        <v>273.86360000000002</v>
      </c>
      <c r="X81" s="75">
        <f t="shared" si="6"/>
        <v>278.45080000000002</v>
      </c>
      <c r="Y81" s="75">
        <f t="shared" si="6"/>
        <v>283.03800000000001</v>
      </c>
      <c r="Z81" s="75">
        <f t="shared" si="6"/>
        <v>287.62520000000001</v>
      </c>
      <c r="AA81" s="16">
        <f>(4.5872*AA80)+30.742</f>
        <v>292.2124</v>
      </c>
      <c r="AB81" s="75">
        <f t="shared" ref="AB81:AD81" si="7">(4.5872*AB80)+30.742</f>
        <v>296.79960000000005</v>
      </c>
      <c r="AC81" s="75">
        <f t="shared" si="7"/>
        <v>301.38680000000005</v>
      </c>
      <c r="AD81" s="75">
        <f t="shared" si="7"/>
        <v>305.97400000000005</v>
      </c>
      <c r="AE81" s="26">
        <f>(4.5872*AE80)+30.742</f>
        <v>310.56120000000004</v>
      </c>
      <c r="AF81" s="159">
        <f t="shared" ref="AF81:CQ81" si="8">(4.5872*AF80)+30.742</f>
        <v>315.14840000000004</v>
      </c>
      <c r="AG81" s="159">
        <f t="shared" si="8"/>
        <v>319.73560000000003</v>
      </c>
      <c r="AH81" s="159">
        <f t="shared" si="8"/>
        <v>324.32280000000003</v>
      </c>
      <c r="AI81" s="159">
        <f t="shared" si="8"/>
        <v>328.91</v>
      </c>
      <c r="AJ81" s="159">
        <f t="shared" si="8"/>
        <v>333.49720000000002</v>
      </c>
      <c r="AK81" s="159">
        <f t="shared" si="8"/>
        <v>338.08440000000002</v>
      </c>
      <c r="AL81" s="159">
        <f t="shared" si="8"/>
        <v>342.67160000000001</v>
      </c>
      <c r="AM81" s="159">
        <f t="shared" si="8"/>
        <v>347.25880000000001</v>
      </c>
      <c r="AN81" s="159">
        <f t="shared" si="8"/>
        <v>351.846</v>
      </c>
      <c r="AO81" s="159">
        <f t="shared" si="8"/>
        <v>356.43320000000006</v>
      </c>
      <c r="AP81" s="159">
        <f t="shared" si="8"/>
        <v>361.02040000000005</v>
      </c>
      <c r="AQ81" s="159">
        <f t="shared" si="8"/>
        <v>365.60760000000005</v>
      </c>
      <c r="AR81" s="159">
        <f t="shared" si="8"/>
        <v>370.19480000000004</v>
      </c>
      <c r="AS81" s="159">
        <f t="shared" si="8"/>
        <v>374.78200000000004</v>
      </c>
      <c r="AT81" s="159">
        <f t="shared" si="8"/>
        <v>379.36920000000003</v>
      </c>
      <c r="AU81" s="159">
        <f t="shared" si="8"/>
        <v>383.95640000000003</v>
      </c>
      <c r="AV81" s="159">
        <f t="shared" si="8"/>
        <v>388.54360000000003</v>
      </c>
      <c r="AW81" s="159">
        <f t="shared" si="8"/>
        <v>393.13080000000002</v>
      </c>
      <c r="AX81" s="159">
        <f t="shared" si="8"/>
        <v>397.71800000000002</v>
      </c>
      <c r="AY81" s="159">
        <f t="shared" si="8"/>
        <v>402.30520000000001</v>
      </c>
      <c r="AZ81" s="159">
        <f t="shared" si="8"/>
        <v>406.89240000000001</v>
      </c>
      <c r="BA81" s="159">
        <f t="shared" si="8"/>
        <v>411.4796</v>
      </c>
      <c r="BB81" s="159">
        <f t="shared" si="8"/>
        <v>416.06680000000006</v>
      </c>
      <c r="BC81" s="159">
        <f t="shared" si="8"/>
        <v>420.65400000000005</v>
      </c>
      <c r="BD81" s="159">
        <f t="shared" si="8"/>
        <v>425.24120000000005</v>
      </c>
      <c r="BE81" s="159">
        <f t="shared" si="8"/>
        <v>429.82840000000004</v>
      </c>
      <c r="BF81" s="159">
        <f t="shared" si="8"/>
        <v>434.41560000000004</v>
      </c>
      <c r="BG81" s="159">
        <f t="shared" si="8"/>
        <v>439.00280000000004</v>
      </c>
      <c r="BH81" s="159">
        <f t="shared" si="8"/>
        <v>443.59000000000003</v>
      </c>
      <c r="BI81" s="159">
        <f t="shared" si="8"/>
        <v>448.17720000000003</v>
      </c>
      <c r="BJ81" s="159">
        <f t="shared" si="8"/>
        <v>452.76440000000002</v>
      </c>
      <c r="BK81" s="159">
        <f t="shared" si="8"/>
        <v>457.35160000000002</v>
      </c>
      <c r="BL81" s="159">
        <f t="shared" si="8"/>
        <v>461.93880000000001</v>
      </c>
      <c r="BM81" s="159">
        <f t="shared" si="8"/>
        <v>466.52600000000001</v>
      </c>
      <c r="BN81" s="159">
        <f t="shared" si="8"/>
        <v>471.11320000000006</v>
      </c>
      <c r="BO81" s="159">
        <f t="shared" si="8"/>
        <v>475.70040000000006</v>
      </c>
      <c r="BP81" s="159">
        <f t="shared" si="8"/>
        <v>480.28760000000005</v>
      </c>
      <c r="BQ81" s="159">
        <f t="shared" si="8"/>
        <v>484.87480000000005</v>
      </c>
      <c r="BR81" s="159">
        <f t="shared" si="8"/>
        <v>489.46200000000005</v>
      </c>
      <c r="BS81" s="159">
        <f t="shared" si="8"/>
        <v>494.04920000000004</v>
      </c>
      <c r="BT81" s="159">
        <f t="shared" si="8"/>
        <v>498.63640000000004</v>
      </c>
      <c r="BU81" s="159">
        <f t="shared" si="8"/>
        <v>503.22360000000003</v>
      </c>
      <c r="BV81" s="159">
        <f t="shared" si="8"/>
        <v>507.81080000000003</v>
      </c>
      <c r="BW81" s="159">
        <f t="shared" si="8"/>
        <v>512.39800000000002</v>
      </c>
      <c r="BX81" s="159">
        <f t="shared" si="8"/>
        <v>516.98519999999996</v>
      </c>
      <c r="BY81" s="159">
        <f t="shared" si="8"/>
        <v>521.57240000000002</v>
      </c>
      <c r="BZ81" s="159">
        <f t="shared" si="8"/>
        <v>526.15959999999995</v>
      </c>
      <c r="CA81" s="159">
        <f t="shared" si="8"/>
        <v>530.74680000000001</v>
      </c>
      <c r="CB81" s="159">
        <f t="shared" si="8"/>
        <v>535.33400000000006</v>
      </c>
      <c r="CC81" s="159">
        <f t="shared" si="8"/>
        <v>539.9212</v>
      </c>
      <c r="CD81" s="159">
        <f t="shared" si="8"/>
        <v>544.50839999999994</v>
      </c>
      <c r="CE81" s="159">
        <f t="shared" si="8"/>
        <v>549.09559999999999</v>
      </c>
      <c r="CF81" s="159">
        <f t="shared" si="8"/>
        <v>553.68279999999993</v>
      </c>
      <c r="CG81" s="159">
        <f t="shared" si="8"/>
        <v>558.27</v>
      </c>
      <c r="CH81" s="159">
        <f t="shared" si="8"/>
        <v>562.85720000000003</v>
      </c>
      <c r="CI81" s="159">
        <f t="shared" si="8"/>
        <v>567.44439999999997</v>
      </c>
      <c r="CJ81" s="159">
        <f t="shared" si="8"/>
        <v>572.03160000000003</v>
      </c>
      <c r="CK81" s="159">
        <f t="shared" si="8"/>
        <v>576.61879999999996</v>
      </c>
      <c r="CL81" s="159">
        <f t="shared" si="8"/>
        <v>581.20600000000002</v>
      </c>
      <c r="CM81" s="159">
        <f t="shared" si="8"/>
        <v>585.79319999999996</v>
      </c>
      <c r="CN81" s="159">
        <f t="shared" si="8"/>
        <v>590.38040000000001</v>
      </c>
      <c r="CO81" s="159">
        <f t="shared" si="8"/>
        <v>594.96759999999995</v>
      </c>
      <c r="CP81" s="159">
        <f t="shared" si="8"/>
        <v>599.5548</v>
      </c>
      <c r="CQ81" s="159">
        <f t="shared" si="8"/>
        <v>604.14199999999994</v>
      </c>
      <c r="CR81" s="159">
        <f t="shared" ref="CR81:DK81" si="9">(4.5872*CR80)+30.742</f>
        <v>608.72919999999999</v>
      </c>
      <c r="CS81" s="159">
        <f t="shared" si="9"/>
        <v>613.31639999999993</v>
      </c>
      <c r="CT81" s="159">
        <f t="shared" si="9"/>
        <v>617.90359999999998</v>
      </c>
      <c r="CU81" s="159">
        <f t="shared" si="9"/>
        <v>622.49080000000004</v>
      </c>
      <c r="CV81" s="159">
        <f t="shared" si="9"/>
        <v>627.07799999999997</v>
      </c>
      <c r="CW81" s="159">
        <f t="shared" si="9"/>
        <v>631.66520000000003</v>
      </c>
      <c r="CX81" s="159">
        <f t="shared" si="9"/>
        <v>636.25239999999997</v>
      </c>
      <c r="CY81" s="159">
        <f t="shared" si="9"/>
        <v>640.83960000000002</v>
      </c>
      <c r="CZ81" s="159">
        <f t="shared" si="9"/>
        <v>645.42679999999996</v>
      </c>
      <c r="DA81" s="159">
        <f t="shared" si="9"/>
        <v>650.01400000000001</v>
      </c>
      <c r="DB81" s="159">
        <f t="shared" si="9"/>
        <v>654.60119999999995</v>
      </c>
      <c r="DC81" s="159">
        <f t="shared" si="9"/>
        <v>659.1884</v>
      </c>
      <c r="DD81" s="159">
        <f t="shared" si="9"/>
        <v>663.77559999999994</v>
      </c>
      <c r="DE81" s="159">
        <f t="shared" si="9"/>
        <v>668.36279999999999</v>
      </c>
      <c r="DF81" s="159">
        <f t="shared" si="9"/>
        <v>672.94999999999993</v>
      </c>
      <c r="DG81" s="159">
        <f t="shared" si="9"/>
        <v>677.53719999999998</v>
      </c>
      <c r="DH81" s="159">
        <f t="shared" si="9"/>
        <v>682.12440000000004</v>
      </c>
      <c r="DI81" s="159">
        <f t="shared" si="9"/>
        <v>686.71159999999998</v>
      </c>
      <c r="DJ81" s="159">
        <f t="shared" si="9"/>
        <v>691.29880000000003</v>
      </c>
      <c r="DK81" s="159">
        <f t="shared" si="9"/>
        <v>695.88599999999997</v>
      </c>
    </row>
    <row r="82" spans="1:115" ht="15.75" thickBot="1">
      <c r="A82" s="10">
        <v>1993</v>
      </c>
      <c r="B82" s="3">
        <v>142.6</v>
      </c>
      <c r="C82" s="3">
        <v>143.1</v>
      </c>
      <c r="D82" s="3">
        <v>143.6</v>
      </c>
      <c r="E82" s="3">
        <v>144</v>
      </c>
      <c r="F82" s="3">
        <v>144.19999999999999</v>
      </c>
      <c r="G82" s="3">
        <v>144.4</v>
      </c>
      <c r="H82" s="3">
        <v>144.4</v>
      </c>
      <c r="I82" s="3">
        <v>144.80000000000001</v>
      </c>
      <c r="J82" s="3">
        <v>145.1</v>
      </c>
      <c r="K82" s="3">
        <v>145.69999999999999</v>
      </c>
      <c r="L82" s="3">
        <v>145.80000000000001</v>
      </c>
      <c r="M82" s="3">
        <v>145.80000000000001</v>
      </c>
      <c r="N82" s="33">
        <v>144.5</v>
      </c>
      <c r="O82" s="11">
        <v>3</v>
      </c>
    </row>
    <row r="83" spans="1:115" ht="15.75" customHeight="1" thickBot="1">
      <c r="A83" s="8">
        <v>1994</v>
      </c>
      <c r="B83" s="4">
        <v>146.19999999999999</v>
      </c>
      <c r="C83" s="4">
        <v>146.69999999999999</v>
      </c>
      <c r="D83" s="4">
        <v>147.19999999999999</v>
      </c>
      <c r="E83" s="4">
        <v>147.4</v>
      </c>
      <c r="F83" s="4">
        <v>147.5</v>
      </c>
      <c r="G83" s="4">
        <v>148</v>
      </c>
      <c r="H83" s="4">
        <v>148.4</v>
      </c>
      <c r="I83" s="4">
        <v>149</v>
      </c>
      <c r="J83" s="4">
        <v>149.4</v>
      </c>
      <c r="K83" s="4">
        <v>149.5</v>
      </c>
      <c r="L83" s="4">
        <v>149.69999999999999</v>
      </c>
      <c r="M83" s="4">
        <v>149.69999999999999</v>
      </c>
      <c r="N83" s="32">
        <v>148.19999999999999</v>
      </c>
      <c r="O83" s="9">
        <v>2.6</v>
      </c>
    </row>
    <row r="84" spans="1:115" ht="15.75" thickBot="1">
      <c r="A84" s="10">
        <v>1995</v>
      </c>
      <c r="B84" s="3">
        <v>150.30000000000001</v>
      </c>
      <c r="C84" s="3">
        <v>150.9</v>
      </c>
      <c r="D84" s="3">
        <v>151.4</v>
      </c>
      <c r="E84" s="3">
        <v>151.9</v>
      </c>
      <c r="F84" s="3">
        <v>152.19999999999999</v>
      </c>
      <c r="G84" s="3">
        <v>152.5</v>
      </c>
      <c r="H84" s="3">
        <v>152.5</v>
      </c>
      <c r="I84" s="3">
        <v>152.9</v>
      </c>
      <c r="J84" s="3">
        <v>153.19999999999999</v>
      </c>
      <c r="K84" s="3">
        <v>153.69999999999999</v>
      </c>
      <c r="L84" s="3">
        <v>153.6</v>
      </c>
      <c r="M84" s="3">
        <v>153.5</v>
      </c>
      <c r="N84" s="33">
        <v>152.4</v>
      </c>
      <c r="O84" s="11">
        <v>2.8</v>
      </c>
      <c r="P84" s="237" t="s">
        <v>92</v>
      </c>
      <c r="Q84" s="237"/>
      <c r="R84" s="237"/>
      <c r="S84" s="35">
        <f>AA81/N106</f>
        <v>1.1921197780678852</v>
      </c>
    </row>
    <row r="85" spans="1:115" ht="15.75" thickBot="1">
      <c r="A85" s="8">
        <v>1996</v>
      </c>
      <c r="B85" s="4">
        <v>154.4</v>
      </c>
      <c r="C85" s="4">
        <v>154.9</v>
      </c>
      <c r="D85" s="4">
        <v>155.69999999999999</v>
      </c>
      <c r="E85" s="4">
        <v>156.30000000000001</v>
      </c>
      <c r="F85" s="4">
        <v>156.6</v>
      </c>
      <c r="G85" s="4">
        <v>156.69999999999999</v>
      </c>
      <c r="H85" s="4">
        <v>157</v>
      </c>
      <c r="I85" s="4">
        <v>157.30000000000001</v>
      </c>
      <c r="J85" s="4">
        <v>157.80000000000001</v>
      </c>
      <c r="K85" s="4">
        <v>158.30000000000001</v>
      </c>
      <c r="L85" s="4">
        <v>158.6</v>
      </c>
      <c r="M85" s="4">
        <v>158.6</v>
      </c>
      <c r="N85" s="32">
        <v>156.9</v>
      </c>
      <c r="O85" s="9">
        <v>3</v>
      </c>
    </row>
    <row r="86" spans="1:115" ht="60.75" thickBot="1">
      <c r="A86" s="10">
        <v>1997</v>
      </c>
      <c r="B86" s="3">
        <v>159.1</v>
      </c>
      <c r="C86" s="3">
        <v>159.6</v>
      </c>
      <c r="D86" s="3">
        <v>160</v>
      </c>
      <c r="E86" s="3">
        <v>160.19999999999999</v>
      </c>
      <c r="F86" s="3">
        <v>160.1</v>
      </c>
      <c r="G86" s="3">
        <v>160.30000000000001</v>
      </c>
      <c r="H86" s="3">
        <v>160.5</v>
      </c>
      <c r="I86" s="3">
        <v>160.80000000000001</v>
      </c>
      <c r="J86" s="3">
        <v>161.19999999999999</v>
      </c>
      <c r="K86" s="3">
        <v>161.6</v>
      </c>
      <c r="L86" s="3">
        <v>161.5</v>
      </c>
      <c r="M86" s="3">
        <v>161.30000000000001</v>
      </c>
      <c r="N86" s="33">
        <v>160.5</v>
      </c>
      <c r="O86" s="11">
        <v>2.2999999999999998</v>
      </c>
      <c r="S86" s="16" t="s">
        <v>309</v>
      </c>
      <c r="T86" s="161"/>
      <c r="U86" s="16" t="s">
        <v>314</v>
      </c>
      <c r="V86" s="161" t="s">
        <v>341</v>
      </c>
      <c r="X86" s="16" t="s">
        <v>23</v>
      </c>
      <c r="Y86" s="16" t="s">
        <v>308</v>
      </c>
      <c r="Z86" s="237" t="s">
        <v>4</v>
      </c>
      <c r="AA86" s="237"/>
      <c r="AR86" s="16"/>
      <c r="AS86" s="16"/>
    </row>
    <row r="87" spans="1:115" ht="15.75" thickBot="1">
      <c r="A87" s="8">
        <v>1998</v>
      </c>
      <c r="B87" s="4">
        <v>161.6</v>
      </c>
      <c r="C87" s="4">
        <v>161.9</v>
      </c>
      <c r="D87" s="4">
        <v>162.19999999999999</v>
      </c>
      <c r="E87" s="4">
        <v>162.5</v>
      </c>
      <c r="F87" s="4">
        <v>162.80000000000001</v>
      </c>
      <c r="G87" s="4">
        <v>163</v>
      </c>
      <c r="H87" s="4">
        <v>163.19999999999999</v>
      </c>
      <c r="I87" s="4">
        <v>163.4</v>
      </c>
      <c r="J87" s="4">
        <v>163.6</v>
      </c>
      <c r="K87" s="4">
        <v>164</v>
      </c>
      <c r="L87" s="4">
        <v>164</v>
      </c>
      <c r="M87" s="4">
        <v>163.9</v>
      </c>
      <c r="N87" s="32">
        <v>163</v>
      </c>
      <c r="O87" s="9">
        <v>1.6</v>
      </c>
      <c r="P87" s="237" t="s">
        <v>310</v>
      </c>
      <c r="Q87" s="237"/>
      <c r="R87" s="237"/>
      <c r="S87" s="35">
        <f>AA87/$N$104</f>
        <v>1</v>
      </c>
      <c r="T87" s="161">
        <v>2015</v>
      </c>
      <c r="U87" s="162">
        <f>600*S87</f>
        <v>600</v>
      </c>
      <c r="V87" s="162">
        <f>1000/S87</f>
        <v>1000</v>
      </c>
      <c r="W87" s="161"/>
      <c r="X87" s="161"/>
      <c r="Y87" s="161">
        <v>2015</v>
      </c>
      <c r="Z87" s="161">
        <f t="shared" ref="Z87:Z118" si="10">Y87-1970</f>
        <v>45</v>
      </c>
      <c r="AA87" s="161">
        <v>237.017</v>
      </c>
      <c r="AR87" s="16"/>
      <c r="AS87" s="16"/>
      <c r="AT87" s="16"/>
    </row>
    <row r="88" spans="1:115" ht="15.75" thickBot="1">
      <c r="A88" s="10">
        <v>1999</v>
      </c>
      <c r="B88" s="3">
        <v>164.3</v>
      </c>
      <c r="C88" s="3">
        <v>164.5</v>
      </c>
      <c r="D88" s="3">
        <v>165</v>
      </c>
      <c r="E88" s="3">
        <v>166.2</v>
      </c>
      <c r="F88" s="3">
        <v>166.2</v>
      </c>
      <c r="G88" s="3">
        <v>166.2</v>
      </c>
      <c r="H88" s="3">
        <v>166.7</v>
      </c>
      <c r="I88" s="3">
        <v>167.1</v>
      </c>
      <c r="J88" s="3">
        <v>167.9</v>
      </c>
      <c r="K88" s="3">
        <v>168.2</v>
      </c>
      <c r="L88" s="3">
        <v>168.3</v>
      </c>
      <c r="M88" s="3">
        <v>168.3</v>
      </c>
      <c r="N88" s="33">
        <v>166.6</v>
      </c>
      <c r="O88" s="11">
        <v>2.2000000000000002</v>
      </c>
      <c r="P88" s="237" t="s">
        <v>311</v>
      </c>
      <c r="Q88" s="237"/>
      <c r="R88" s="237"/>
      <c r="S88" s="35">
        <f t="shared" ref="S88:S90" si="11">AA88/$N$104</f>
        <v>1.0126151288726126</v>
      </c>
      <c r="T88" s="161">
        <v>2016</v>
      </c>
      <c r="U88" s="162">
        <f t="shared" ref="U88:U151" si="12">600*S88</f>
        <v>607.56907732356763</v>
      </c>
      <c r="V88" s="162">
        <f t="shared" ref="V88:V151" si="13">1000/S88</f>
        <v>987.54203002412419</v>
      </c>
      <c r="W88" s="161"/>
      <c r="X88" s="161"/>
      <c r="Y88" s="161">
        <v>2016</v>
      </c>
      <c r="Z88" s="161">
        <f t="shared" si="10"/>
        <v>46</v>
      </c>
      <c r="AA88" s="161">
        <v>240.00700000000001</v>
      </c>
      <c r="AR88" s="16"/>
      <c r="AS88" s="16"/>
      <c r="AT88" s="16"/>
    </row>
    <row r="89" spans="1:115" ht="42" customHeight="1" thickBot="1">
      <c r="A89" s="8">
        <v>2000</v>
      </c>
      <c r="B89" s="4">
        <v>168.8</v>
      </c>
      <c r="C89" s="4">
        <v>169.8</v>
      </c>
      <c r="D89" s="4">
        <v>171.2</v>
      </c>
      <c r="E89" s="4">
        <v>171.3</v>
      </c>
      <c r="F89" s="4">
        <v>171.5</v>
      </c>
      <c r="G89" s="4">
        <v>172.4</v>
      </c>
      <c r="H89" s="4">
        <v>172.8</v>
      </c>
      <c r="I89" s="4">
        <v>172.8</v>
      </c>
      <c r="J89" s="4">
        <v>173.7</v>
      </c>
      <c r="K89" s="4">
        <v>174</v>
      </c>
      <c r="L89" s="4">
        <v>174.1</v>
      </c>
      <c r="M89" s="4">
        <v>174</v>
      </c>
      <c r="N89" s="32">
        <v>172.2</v>
      </c>
      <c r="O89" s="9">
        <v>3.4</v>
      </c>
      <c r="P89" s="237" t="s">
        <v>312</v>
      </c>
      <c r="Q89" s="237"/>
      <c r="R89" s="237"/>
      <c r="S89" s="35">
        <f t="shared" si="11"/>
        <v>1.0341874211554445</v>
      </c>
      <c r="T89" s="161">
        <v>2017</v>
      </c>
      <c r="U89" s="162">
        <f t="shared" si="12"/>
        <v>620.51245269326671</v>
      </c>
      <c r="V89" s="162">
        <f t="shared" si="13"/>
        <v>966.94272193211498</v>
      </c>
      <c r="W89" s="161"/>
      <c r="X89" s="161"/>
      <c r="Y89" s="161">
        <v>2017</v>
      </c>
      <c r="Z89" s="161">
        <f t="shared" si="10"/>
        <v>47</v>
      </c>
      <c r="AA89" s="161">
        <v>245.12</v>
      </c>
      <c r="AR89" s="16"/>
      <c r="AS89" s="16"/>
      <c r="AT89" s="16"/>
    </row>
    <row r="90" spans="1:115" ht="15.75" thickBot="1">
      <c r="A90" s="10">
        <v>2001</v>
      </c>
      <c r="B90" s="3">
        <v>175.1</v>
      </c>
      <c r="C90" s="3">
        <v>175.8</v>
      </c>
      <c r="D90" s="3">
        <v>176.2</v>
      </c>
      <c r="E90" s="3">
        <v>176.9</v>
      </c>
      <c r="F90" s="3">
        <v>177.7</v>
      </c>
      <c r="G90" s="3">
        <v>178</v>
      </c>
      <c r="H90" s="3">
        <v>177.5</v>
      </c>
      <c r="I90" s="3">
        <v>177.5</v>
      </c>
      <c r="J90" s="3">
        <v>178.3</v>
      </c>
      <c r="K90" s="3">
        <v>177.7</v>
      </c>
      <c r="L90" s="3">
        <v>177.4</v>
      </c>
      <c r="M90" s="3">
        <v>176.7</v>
      </c>
      <c r="N90" s="33">
        <v>177.1</v>
      </c>
      <c r="O90" s="11">
        <v>2.8</v>
      </c>
      <c r="P90" s="237" t="s">
        <v>313</v>
      </c>
      <c r="Q90" s="237"/>
      <c r="R90" s="237"/>
      <c r="S90" s="35">
        <f t="shared" si="11"/>
        <v>1.0586903049148375</v>
      </c>
      <c r="T90" s="161">
        <v>2018</v>
      </c>
      <c r="U90" s="162">
        <f t="shared" si="12"/>
        <v>635.21418294890248</v>
      </c>
      <c r="V90" s="162">
        <f t="shared" si="13"/>
        <v>944.56329236002716</v>
      </c>
      <c r="X90" s="161"/>
      <c r="Y90" s="161">
        <v>2018</v>
      </c>
      <c r="Z90" s="161">
        <f t="shared" si="10"/>
        <v>48</v>
      </c>
      <c r="AA90" s="161">
        <f t="shared" ref="AA90:AA121" si="14">(4.5872*Z90)+30.742</f>
        <v>250.92760000000001</v>
      </c>
      <c r="AR90" s="16"/>
      <c r="AS90" s="16"/>
      <c r="AT90" s="16"/>
    </row>
    <row r="91" spans="1:115" ht="45.75" thickBot="1">
      <c r="A91" s="8">
        <v>2002</v>
      </c>
      <c r="B91" s="4">
        <v>177.1</v>
      </c>
      <c r="C91" s="4">
        <v>177.8</v>
      </c>
      <c r="D91" s="4">
        <v>178.8</v>
      </c>
      <c r="E91" s="4">
        <v>179.8</v>
      </c>
      <c r="F91" s="4">
        <v>179.8</v>
      </c>
      <c r="G91" s="4">
        <v>179.9</v>
      </c>
      <c r="H91" s="4">
        <v>180.1</v>
      </c>
      <c r="I91" s="4">
        <v>180.7</v>
      </c>
      <c r="J91" s="4">
        <v>181</v>
      </c>
      <c r="K91" s="4">
        <v>181.3</v>
      </c>
      <c r="L91" s="4">
        <v>181.3</v>
      </c>
      <c r="M91" s="4">
        <v>180.9</v>
      </c>
      <c r="N91" s="32">
        <v>179.9</v>
      </c>
      <c r="O91" s="9">
        <v>1.6</v>
      </c>
      <c r="P91" s="237" t="s">
        <v>172</v>
      </c>
      <c r="Q91" s="237"/>
      <c r="R91" s="237"/>
      <c r="S91" s="35">
        <f>AA91/$N$104</f>
        <v>1.0780441909230141</v>
      </c>
      <c r="T91" s="161">
        <v>2019</v>
      </c>
      <c r="U91" s="162">
        <f t="shared" si="12"/>
        <v>646.82651455380847</v>
      </c>
      <c r="V91" s="162">
        <f t="shared" si="13"/>
        <v>927.60575904018071</v>
      </c>
      <c r="W91" s="16">
        <v>2000</v>
      </c>
      <c r="X91" s="16" t="s">
        <v>27</v>
      </c>
      <c r="Y91" s="161">
        <v>2019</v>
      </c>
      <c r="Z91" s="161">
        <f t="shared" si="10"/>
        <v>49</v>
      </c>
      <c r="AA91" s="161">
        <f t="shared" si="14"/>
        <v>255.51480000000001</v>
      </c>
      <c r="AB91" s="16">
        <v>700</v>
      </c>
      <c r="AC91" s="16">
        <v>600</v>
      </c>
      <c r="AR91" s="16"/>
      <c r="AS91" s="16"/>
      <c r="AT91" s="16"/>
    </row>
    <row r="92" spans="1:115" ht="15.75" thickBot="1">
      <c r="A92" s="10">
        <v>2003</v>
      </c>
      <c r="B92" s="3">
        <v>181.7</v>
      </c>
      <c r="C92" s="3">
        <v>183.1</v>
      </c>
      <c r="D92" s="3">
        <v>184.2</v>
      </c>
      <c r="E92" s="3">
        <v>183.8</v>
      </c>
      <c r="F92" s="3">
        <v>183.5</v>
      </c>
      <c r="G92" s="3">
        <v>183.7</v>
      </c>
      <c r="H92" s="3">
        <v>183.9</v>
      </c>
      <c r="I92" s="3">
        <v>184.6</v>
      </c>
      <c r="J92" s="3">
        <v>185.2</v>
      </c>
      <c r="K92" s="3">
        <v>185</v>
      </c>
      <c r="L92" s="3">
        <v>184.5</v>
      </c>
      <c r="M92" s="3">
        <v>184.3</v>
      </c>
      <c r="N92" s="33">
        <v>184</v>
      </c>
      <c r="O92" s="11">
        <v>2.2999999999999998</v>
      </c>
      <c r="P92" s="237" t="s">
        <v>173</v>
      </c>
      <c r="Q92" s="237"/>
      <c r="R92" s="237"/>
      <c r="S92" s="35">
        <f>AA92/$N$104</f>
        <v>1.0973980769311908</v>
      </c>
      <c r="T92" s="161">
        <v>2020</v>
      </c>
      <c r="U92" s="162">
        <f t="shared" si="12"/>
        <v>658.43884615871445</v>
      </c>
      <c r="V92" s="162">
        <f t="shared" si="13"/>
        <v>911.24635719832963</v>
      </c>
      <c r="W92" s="16">
        <v>2015</v>
      </c>
      <c r="X92" s="16">
        <f>172.2</f>
        <v>172.2</v>
      </c>
      <c r="Y92" s="161">
        <v>2020</v>
      </c>
      <c r="Z92" s="161">
        <f t="shared" si="10"/>
        <v>50</v>
      </c>
      <c r="AA92" s="161">
        <f t="shared" si="14"/>
        <v>260.10200000000003</v>
      </c>
      <c r="AR92" s="16"/>
      <c r="AS92" s="16"/>
      <c r="AT92" s="16"/>
    </row>
    <row r="93" spans="1:115" ht="15.75" thickBot="1">
      <c r="A93" s="8">
        <v>2004</v>
      </c>
      <c r="B93" s="4">
        <v>185.2</v>
      </c>
      <c r="C93" s="4">
        <v>186.2</v>
      </c>
      <c r="D93" s="4">
        <v>187.4</v>
      </c>
      <c r="E93" s="4">
        <v>188</v>
      </c>
      <c r="F93" s="4">
        <v>189.1</v>
      </c>
      <c r="G93" s="4">
        <v>189.7</v>
      </c>
      <c r="H93" s="4">
        <v>189.4</v>
      </c>
      <c r="I93" s="4">
        <v>189.5</v>
      </c>
      <c r="J93" s="4">
        <v>189.9</v>
      </c>
      <c r="K93" s="4">
        <v>190.9</v>
      </c>
      <c r="L93" s="4">
        <v>191</v>
      </c>
      <c r="M93" s="4">
        <v>190.3</v>
      </c>
      <c r="N93" s="32">
        <v>188.9</v>
      </c>
      <c r="O93" s="9">
        <v>2.7</v>
      </c>
      <c r="P93" s="237" t="s">
        <v>90</v>
      </c>
      <c r="Q93" s="237"/>
      <c r="R93" s="237"/>
      <c r="S93" s="35">
        <f t="shared" ref="S93:S110" si="15">AA93/$N$104</f>
        <v>1.1167519629393674</v>
      </c>
      <c r="T93" s="161">
        <v>2021</v>
      </c>
      <c r="U93" s="162">
        <f t="shared" si="12"/>
        <v>670.05117776362044</v>
      </c>
      <c r="V93" s="162">
        <f t="shared" si="13"/>
        <v>895.45398905584341</v>
      </c>
      <c r="W93" s="16" t="s">
        <v>29</v>
      </c>
      <c r="X93" s="16">
        <f>237.017</f>
        <v>237.017</v>
      </c>
      <c r="Y93" s="161">
        <v>2021</v>
      </c>
      <c r="Z93" s="161">
        <f t="shared" si="10"/>
        <v>51</v>
      </c>
      <c r="AA93" s="161">
        <f t="shared" si="14"/>
        <v>264.68920000000003</v>
      </c>
      <c r="AR93" s="16"/>
      <c r="AS93" s="16"/>
      <c r="AT93" s="16"/>
    </row>
    <row r="94" spans="1:115" ht="15.75" thickBot="1">
      <c r="A94" s="10">
        <v>2005</v>
      </c>
      <c r="B94" s="3">
        <v>190.7</v>
      </c>
      <c r="C94" s="3">
        <v>191.8</v>
      </c>
      <c r="D94" s="3">
        <v>193.3</v>
      </c>
      <c r="E94" s="3">
        <v>194.6</v>
      </c>
      <c r="F94" s="3">
        <v>194.4</v>
      </c>
      <c r="G94" s="3">
        <v>194.5</v>
      </c>
      <c r="H94" s="3">
        <v>195.4</v>
      </c>
      <c r="I94" s="3">
        <v>196.4</v>
      </c>
      <c r="J94" s="3">
        <v>198.8</v>
      </c>
      <c r="K94" s="3">
        <v>199.2</v>
      </c>
      <c r="L94" s="3">
        <v>197.6</v>
      </c>
      <c r="M94" s="3">
        <v>196.8</v>
      </c>
      <c r="N94" s="33">
        <v>195.3</v>
      </c>
      <c r="O94" s="11">
        <v>3.4</v>
      </c>
      <c r="P94" s="237" t="s">
        <v>174</v>
      </c>
      <c r="Q94" s="237"/>
      <c r="R94" s="237"/>
      <c r="S94" s="35">
        <f t="shared" si="15"/>
        <v>1.136105848947544</v>
      </c>
      <c r="T94" s="161">
        <v>2022</v>
      </c>
      <c r="U94" s="162">
        <f t="shared" si="12"/>
        <v>681.66350936852632</v>
      </c>
      <c r="V94" s="162">
        <f t="shared" si="13"/>
        <v>880.19967587207782</v>
      </c>
      <c r="W94" s="16" t="s">
        <v>28</v>
      </c>
      <c r="X94" s="16">
        <f>X93/X92</f>
        <v>1.3764053426248548</v>
      </c>
      <c r="Y94" s="161">
        <v>2022</v>
      </c>
      <c r="Z94" s="161">
        <f t="shared" si="10"/>
        <v>52</v>
      </c>
      <c r="AA94" s="161">
        <f t="shared" si="14"/>
        <v>269.27640000000002</v>
      </c>
      <c r="AB94" s="16">
        <f>(AB91*AA94)/AA91</f>
        <v>737.70082985408283</v>
      </c>
      <c r="AC94" s="16">
        <f>(AC91*AA94)/AA91</f>
        <v>632.31499701778534</v>
      </c>
      <c r="AR94" s="16"/>
      <c r="AS94" s="16"/>
      <c r="AT94" s="16"/>
    </row>
    <row r="95" spans="1:115" ht="15.75" customHeight="1" thickBot="1">
      <c r="A95" s="8">
        <v>2006</v>
      </c>
      <c r="B95" s="4">
        <v>198.3</v>
      </c>
      <c r="C95" s="4">
        <v>198.7</v>
      </c>
      <c r="D95" s="4">
        <v>199.8</v>
      </c>
      <c r="E95" s="4">
        <v>201.5</v>
      </c>
      <c r="F95" s="4">
        <v>202.5</v>
      </c>
      <c r="G95" s="4">
        <v>202.9</v>
      </c>
      <c r="H95" s="4">
        <v>203.5</v>
      </c>
      <c r="I95" s="4">
        <v>203.9</v>
      </c>
      <c r="J95" s="4">
        <v>202.9</v>
      </c>
      <c r="K95" s="4">
        <v>201.8</v>
      </c>
      <c r="L95" s="4">
        <v>201.5</v>
      </c>
      <c r="M95" s="4">
        <v>201.8</v>
      </c>
      <c r="N95" s="32">
        <v>201.6</v>
      </c>
      <c r="O95" s="9">
        <v>3.2</v>
      </c>
      <c r="P95" s="237" t="s">
        <v>175</v>
      </c>
      <c r="Q95" s="237"/>
      <c r="R95" s="237"/>
      <c r="S95" s="35">
        <f t="shared" si="15"/>
        <v>1.1554597349557205</v>
      </c>
      <c r="T95" s="161">
        <v>2023</v>
      </c>
      <c r="U95" s="162">
        <f t="shared" si="12"/>
        <v>693.27584097343231</v>
      </c>
      <c r="V95" s="162">
        <f t="shared" si="13"/>
        <v>865.45638047553598</v>
      </c>
      <c r="W95" s="16" t="s">
        <v>30</v>
      </c>
      <c r="X95" s="17">
        <f>2000000000</f>
        <v>2000000000</v>
      </c>
      <c r="Y95" s="161">
        <v>2023</v>
      </c>
      <c r="Z95" s="161">
        <f t="shared" si="10"/>
        <v>53</v>
      </c>
      <c r="AA95" s="161">
        <f t="shared" si="14"/>
        <v>273.86360000000002</v>
      </c>
      <c r="AR95" s="16"/>
      <c r="AS95" s="16"/>
      <c r="AT95" s="16"/>
    </row>
    <row r="96" spans="1:115" ht="15.75" thickBot="1">
      <c r="A96" s="10">
        <v>2007</v>
      </c>
      <c r="B96" s="3">
        <v>202.4</v>
      </c>
      <c r="C96" s="3">
        <v>203.5</v>
      </c>
      <c r="D96" s="3">
        <v>205.4</v>
      </c>
      <c r="E96" s="3">
        <v>206.7</v>
      </c>
      <c r="F96" s="3">
        <v>207.9</v>
      </c>
      <c r="G96" s="3">
        <v>208.4</v>
      </c>
      <c r="H96" s="3">
        <v>208.3</v>
      </c>
      <c r="I96" s="3">
        <v>207.9</v>
      </c>
      <c r="J96" s="3">
        <v>208.5</v>
      </c>
      <c r="K96" s="3">
        <v>208.9</v>
      </c>
      <c r="L96" s="3">
        <v>210.2</v>
      </c>
      <c r="M96" s="3">
        <v>210</v>
      </c>
      <c r="N96" s="33">
        <v>207.3</v>
      </c>
      <c r="O96" s="11">
        <v>2.8</v>
      </c>
      <c r="P96" s="237" t="s">
        <v>176</v>
      </c>
      <c r="Q96" s="237"/>
      <c r="R96" s="237"/>
      <c r="S96" s="35">
        <f t="shared" si="15"/>
        <v>1.1748136209638973</v>
      </c>
      <c r="T96" s="161">
        <v>2024</v>
      </c>
      <c r="U96" s="162">
        <f t="shared" si="12"/>
        <v>704.88817257833841</v>
      </c>
      <c r="V96" s="162">
        <f t="shared" si="13"/>
        <v>851.19884733676452</v>
      </c>
      <c r="X96" s="17">
        <f>X95*X94</f>
        <v>2752810685.2497096</v>
      </c>
      <c r="Y96" s="161">
        <v>2024</v>
      </c>
      <c r="Z96" s="161">
        <f t="shared" si="10"/>
        <v>54</v>
      </c>
      <c r="AA96" s="161">
        <f t="shared" si="14"/>
        <v>278.45080000000002</v>
      </c>
      <c r="AR96" s="16"/>
      <c r="AS96" s="16"/>
      <c r="AT96" s="16"/>
    </row>
    <row r="97" spans="1:46" ht="15.75" thickBot="1">
      <c r="A97" s="8">
        <v>2008</v>
      </c>
      <c r="B97" s="4">
        <v>211.1</v>
      </c>
      <c r="C97" s="4">
        <v>211.7</v>
      </c>
      <c r="D97" s="4">
        <v>213.5</v>
      </c>
      <c r="E97" s="4">
        <v>214.8</v>
      </c>
      <c r="F97" s="4">
        <v>216.6</v>
      </c>
      <c r="G97" s="4">
        <v>218.8</v>
      </c>
      <c r="H97" s="4">
        <v>219.964</v>
      </c>
      <c r="I97" s="4">
        <v>219.08600000000001</v>
      </c>
      <c r="J97" s="4">
        <v>218.78299999999999</v>
      </c>
      <c r="K97" s="4">
        <v>216.57300000000001</v>
      </c>
      <c r="L97" s="4">
        <v>212.42500000000001</v>
      </c>
      <c r="M97" s="4">
        <v>210.22800000000001</v>
      </c>
      <c r="N97" s="32">
        <v>215.303</v>
      </c>
      <c r="O97" s="9">
        <v>3.8</v>
      </c>
      <c r="P97" s="237" t="s">
        <v>177</v>
      </c>
      <c r="Q97" s="237"/>
      <c r="R97" s="237"/>
      <c r="S97" s="35">
        <f t="shared" si="15"/>
        <v>1.1941675069720739</v>
      </c>
      <c r="T97" s="161">
        <v>2025</v>
      </c>
      <c r="U97" s="162">
        <f t="shared" si="12"/>
        <v>716.50050418324429</v>
      </c>
      <c r="V97" s="162">
        <f t="shared" si="13"/>
        <v>837.40345819289269</v>
      </c>
      <c r="Y97" s="161">
        <v>2025</v>
      </c>
      <c r="Z97" s="161">
        <f t="shared" si="10"/>
        <v>55</v>
      </c>
      <c r="AA97" s="161">
        <f t="shared" si="14"/>
        <v>283.03800000000001</v>
      </c>
      <c r="AR97" s="16"/>
      <c r="AS97" s="16"/>
      <c r="AT97" s="16"/>
    </row>
    <row r="98" spans="1:46" ht="15.75" customHeight="1" thickBot="1">
      <c r="A98" s="10">
        <v>2009</v>
      </c>
      <c r="B98" s="3">
        <v>211.143</v>
      </c>
      <c r="C98" s="3">
        <v>212.19300000000001</v>
      </c>
      <c r="D98" s="3">
        <v>212.709</v>
      </c>
      <c r="E98" s="3">
        <v>213.24</v>
      </c>
      <c r="F98" s="3">
        <v>213.85599999999999</v>
      </c>
      <c r="G98" s="3">
        <v>215.69300000000001</v>
      </c>
      <c r="H98" s="3">
        <v>215.351</v>
      </c>
      <c r="I98" s="3">
        <v>215.834</v>
      </c>
      <c r="J98" s="3">
        <v>215.96899999999999</v>
      </c>
      <c r="K98" s="3">
        <v>216.17699999999999</v>
      </c>
      <c r="L98" s="3">
        <v>216.33</v>
      </c>
      <c r="M98" s="3">
        <v>215.94900000000001</v>
      </c>
      <c r="N98" s="33">
        <v>214.53700000000001</v>
      </c>
      <c r="O98" s="11">
        <v>-0.4</v>
      </c>
      <c r="P98" s="237" t="s">
        <v>178</v>
      </c>
      <c r="Q98" s="237"/>
      <c r="R98" s="237"/>
      <c r="S98" s="35">
        <f t="shared" si="15"/>
        <v>1.2135213929802504</v>
      </c>
      <c r="T98" s="161">
        <v>2026</v>
      </c>
      <c r="U98" s="162">
        <f t="shared" si="12"/>
        <v>728.11283578815028</v>
      </c>
      <c r="V98" s="162">
        <f t="shared" si="13"/>
        <v>824.04810148763045</v>
      </c>
      <c r="W98" s="162">
        <f>621</f>
        <v>621</v>
      </c>
      <c r="Y98" s="161">
        <v>2026</v>
      </c>
      <c r="Z98" s="161">
        <f t="shared" si="10"/>
        <v>56</v>
      </c>
      <c r="AA98" s="161">
        <f t="shared" si="14"/>
        <v>287.62520000000001</v>
      </c>
      <c r="AR98" s="16"/>
      <c r="AS98" s="16"/>
      <c r="AT98" s="16"/>
    </row>
    <row r="99" spans="1:46" ht="15.75" thickBot="1">
      <c r="A99" s="8">
        <v>2010</v>
      </c>
      <c r="B99" s="4">
        <v>216.68700000000001</v>
      </c>
      <c r="C99" s="4">
        <v>216.74100000000001</v>
      </c>
      <c r="D99" s="4">
        <v>217.631</v>
      </c>
      <c r="E99" s="4">
        <v>218.00899999999999</v>
      </c>
      <c r="F99" s="4">
        <v>218.178</v>
      </c>
      <c r="G99" s="4">
        <v>217.965</v>
      </c>
      <c r="H99" s="4">
        <v>218.011</v>
      </c>
      <c r="I99" s="4">
        <v>218.31200000000001</v>
      </c>
      <c r="J99" s="4">
        <v>218.43899999999999</v>
      </c>
      <c r="K99" s="4">
        <v>218.71100000000001</v>
      </c>
      <c r="L99" s="4">
        <v>218.803</v>
      </c>
      <c r="M99" s="4">
        <v>219.179</v>
      </c>
      <c r="N99" s="32">
        <v>218.05600000000001</v>
      </c>
      <c r="O99" s="9">
        <v>1.6</v>
      </c>
      <c r="P99" s="237" t="s">
        <v>63</v>
      </c>
      <c r="Q99" s="237"/>
      <c r="R99" s="237"/>
      <c r="S99" s="35">
        <f t="shared" si="15"/>
        <v>1.232875278988427</v>
      </c>
      <c r="T99" s="161">
        <v>2027</v>
      </c>
      <c r="U99" s="162">
        <f t="shared" si="12"/>
        <v>739.72516739305615</v>
      </c>
      <c r="V99" s="162">
        <f t="shared" si="13"/>
        <v>811.11205410858679</v>
      </c>
      <c r="W99" s="162">
        <f>621</f>
        <v>621</v>
      </c>
      <c r="X99" s="162">
        <f>W98*S99</f>
        <v>765.61554825181315</v>
      </c>
      <c r="Y99" s="161">
        <v>2027</v>
      </c>
      <c r="Z99" s="161">
        <f t="shared" si="10"/>
        <v>57</v>
      </c>
      <c r="AA99" s="161">
        <f t="shared" si="14"/>
        <v>292.2124</v>
      </c>
      <c r="AR99" s="16"/>
      <c r="AS99" s="16"/>
      <c r="AT99" s="16"/>
    </row>
    <row r="100" spans="1:46" ht="15.75" thickBot="1">
      <c r="A100" s="10">
        <v>2011</v>
      </c>
      <c r="B100" s="3">
        <v>220.22300000000001</v>
      </c>
      <c r="C100" s="3">
        <v>221.309</v>
      </c>
      <c r="D100" s="3">
        <v>223.46700000000001</v>
      </c>
      <c r="E100" s="3">
        <v>224.90600000000001</v>
      </c>
      <c r="F100" s="3">
        <v>225.964</v>
      </c>
      <c r="G100" s="3">
        <v>225.72200000000001</v>
      </c>
      <c r="H100" s="3">
        <v>225.922</v>
      </c>
      <c r="I100" s="3">
        <v>226.54499999999999</v>
      </c>
      <c r="J100" s="3">
        <v>226.88900000000001</v>
      </c>
      <c r="K100" s="3">
        <v>226.42099999999999</v>
      </c>
      <c r="L100" s="3">
        <v>226.23</v>
      </c>
      <c r="M100" s="3">
        <v>225.672</v>
      </c>
      <c r="N100" s="33">
        <v>224.93899999999999</v>
      </c>
      <c r="O100" s="11">
        <v>3.2</v>
      </c>
      <c r="P100" s="237" t="s">
        <v>179</v>
      </c>
      <c r="Q100" s="237"/>
      <c r="R100" s="237"/>
      <c r="S100" s="35">
        <f t="shared" si="15"/>
        <v>1.252229164996604</v>
      </c>
      <c r="T100" s="161">
        <v>2028</v>
      </c>
      <c r="U100" s="162">
        <f t="shared" si="12"/>
        <v>751.33749899796237</v>
      </c>
      <c r="V100" s="162">
        <f t="shared" si="13"/>
        <v>798.57587409147425</v>
      </c>
      <c r="W100" s="162">
        <f>621</f>
        <v>621</v>
      </c>
      <c r="X100" s="162">
        <f>W99*S100</f>
        <v>777.63431146289111</v>
      </c>
      <c r="Y100" s="161">
        <v>2028</v>
      </c>
      <c r="Z100" s="161">
        <f t="shared" si="10"/>
        <v>58</v>
      </c>
      <c r="AA100" s="161">
        <f t="shared" si="14"/>
        <v>296.79960000000005</v>
      </c>
      <c r="AR100" s="16"/>
      <c r="AS100" s="16"/>
      <c r="AT100" s="16"/>
    </row>
    <row r="101" spans="1:46" ht="15.75" thickBot="1">
      <c r="A101" s="8">
        <v>2012</v>
      </c>
      <c r="B101" s="4">
        <v>226.655</v>
      </c>
      <c r="C101" s="4">
        <v>227.66300000000001</v>
      </c>
      <c r="D101" s="4">
        <v>229.392</v>
      </c>
      <c r="E101" s="4">
        <v>230.08500000000001</v>
      </c>
      <c r="F101" s="4">
        <v>229.815</v>
      </c>
      <c r="G101" s="4">
        <v>229.47800000000001</v>
      </c>
      <c r="H101" s="4">
        <v>229.10400000000001</v>
      </c>
      <c r="I101" s="4">
        <v>230.37899999999999</v>
      </c>
      <c r="J101" s="4">
        <v>231.40700000000001</v>
      </c>
      <c r="K101" s="4">
        <v>231.31700000000001</v>
      </c>
      <c r="L101" s="4">
        <v>230.221</v>
      </c>
      <c r="M101" s="4">
        <v>229.601</v>
      </c>
      <c r="N101" s="32">
        <v>229.59399999999999</v>
      </c>
      <c r="O101" s="9">
        <v>2.1</v>
      </c>
      <c r="P101" s="237" t="s">
        <v>180</v>
      </c>
      <c r="Q101" s="237"/>
      <c r="R101" s="237"/>
      <c r="S101" s="35">
        <f t="shared" si="15"/>
        <v>1.2715830510047805</v>
      </c>
      <c r="T101" s="161">
        <v>2029</v>
      </c>
      <c r="U101" s="162">
        <f t="shared" si="12"/>
        <v>762.94983060286836</v>
      </c>
      <c r="V101" s="162">
        <f t="shared" si="13"/>
        <v>786.42130312276436</v>
      </c>
      <c r="W101" s="162">
        <f>621</f>
        <v>621</v>
      </c>
      <c r="X101" s="162">
        <f>W100*S101</f>
        <v>789.65307467396872</v>
      </c>
      <c r="Y101" s="161">
        <v>2029</v>
      </c>
      <c r="Z101" s="161">
        <f t="shared" si="10"/>
        <v>59</v>
      </c>
      <c r="AA101" s="161">
        <f t="shared" si="14"/>
        <v>301.38680000000005</v>
      </c>
      <c r="AR101" s="16"/>
      <c r="AS101" s="16"/>
      <c r="AT101" s="16"/>
    </row>
    <row r="102" spans="1:46" ht="15.75" thickBot="1">
      <c r="A102" s="10">
        <v>2013</v>
      </c>
      <c r="B102" s="3">
        <v>230.28</v>
      </c>
      <c r="C102" s="3">
        <v>232.166</v>
      </c>
      <c r="D102" s="3">
        <v>232.773</v>
      </c>
      <c r="E102" s="3">
        <v>232.53100000000001</v>
      </c>
      <c r="F102" s="3">
        <v>232.94499999999999</v>
      </c>
      <c r="G102" s="3">
        <v>233.50399999999999</v>
      </c>
      <c r="H102" s="3">
        <v>233.596</v>
      </c>
      <c r="I102" s="3">
        <v>233.87700000000001</v>
      </c>
      <c r="J102" s="3">
        <v>234.149</v>
      </c>
      <c r="K102" s="3">
        <v>233.54599999999999</v>
      </c>
      <c r="L102" s="3">
        <v>233.06899999999999</v>
      </c>
      <c r="M102" s="3">
        <v>233.04900000000001</v>
      </c>
      <c r="N102" s="33">
        <v>232.95699999999999</v>
      </c>
      <c r="O102" s="11">
        <v>1.5</v>
      </c>
      <c r="P102" s="237" t="s">
        <v>91</v>
      </c>
      <c r="Q102" s="237"/>
      <c r="R102" s="237"/>
      <c r="S102" s="35">
        <f t="shared" si="15"/>
        <v>1.2909369370129571</v>
      </c>
      <c r="T102" s="161">
        <v>2030</v>
      </c>
      <c r="U102" s="162">
        <f t="shared" si="12"/>
        <v>774.56216220777424</v>
      </c>
      <c r="V102" s="162">
        <f t="shared" si="13"/>
        <v>774.63117781249377</v>
      </c>
      <c r="W102" s="162">
        <f>621</f>
        <v>621</v>
      </c>
      <c r="X102" s="162">
        <f>W101*S102</f>
        <v>801.67183788504633</v>
      </c>
      <c r="Y102" s="161">
        <v>2030</v>
      </c>
      <c r="Z102" s="161">
        <f t="shared" si="10"/>
        <v>60</v>
      </c>
      <c r="AA102" s="161">
        <f t="shared" si="14"/>
        <v>305.97400000000005</v>
      </c>
      <c r="AB102" s="16">
        <f>(AB91*AA102)/AA91</f>
        <v>838.23637613163714</v>
      </c>
      <c r="AC102" s="16">
        <f>(AC91*AA102)/AA91</f>
        <v>718.48832239854607</v>
      </c>
      <c r="AR102" s="16"/>
      <c r="AS102" s="16"/>
      <c r="AT102" s="16"/>
    </row>
    <row r="103" spans="1:46" ht="15.75" thickBot="1">
      <c r="A103" s="8">
        <v>2014</v>
      </c>
      <c r="B103" s="4">
        <v>233.916</v>
      </c>
      <c r="C103" s="4">
        <v>234.78100000000001</v>
      </c>
      <c r="D103" s="4">
        <v>236.29300000000001</v>
      </c>
      <c r="E103" s="4">
        <v>237.072</v>
      </c>
      <c r="F103" s="4">
        <v>237.9</v>
      </c>
      <c r="G103" s="4">
        <v>238.34299999999999</v>
      </c>
      <c r="H103" s="4">
        <v>238.25</v>
      </c>
      <c r="I103" s="4">
        <v>237.852</v>
      </c>
      <c r="J103" s="4">
        <v>238.03100000000001</v>
      </c>
      <c r="K103" s="4">
        <v>237.43299999999999</v>
      </c>
      <c r="L103" s="4">
        <v>236.15100000000001</v>
      </c>
      <c r="M103" s="4">
        <v>234.81200000000001</v>
      </c>
      <c r="N103" s="32">
        <v>236.73599999999999</v>
      </c>
      <c r="O103" s="9">
        <v>1.6</v>
      </c>
      <c r="P103" s="237" t="s">
        <v>171</v>
      </c>
      <c r="Q103" s="237"/>
      <c r="R103" s="237"/>
      <c r="S103" s="35">
        <f t="shared" si="15"/>
        <v>1.3102908230211336</v>
      </c>
      <c r="T103" s="161">
        <v>2031</v>
      </c>
      <c r="U103" s="162">
        <f t="shared" si="12"/>
        <v>786.17449381268023</v>
      </c>
      <c r="V103" s="162">
        <f t="shared" si="13"/>
        <v>763.18934883043983</v>
      </c>
      <c r="X103" s="162">
        <f>W102*S103</f>
        <v>813.69060109612394</v>
      </c>
      <c r="Y103" s="161">
        <v>2031</v>
      </c>
      <c r="Z103" s="161">
        <f t="shared" si="10"/>
        <v>61</v>
      </c>
      <c r="AA103" s="161">
        <f t="shared" si="14"/>
        <v>310.56120000000004</v>
      </c>
      <c r="AR103" s="16"/>
      <c r="AS103" s="16"/>
      <c r="AT103" s="16"/>
    </row>
    <row r="104" spans="1:46" ht="15.75" thickBot="1">
      <c r="A104" s="10">
        <v>2015</v>
      </c>
      <c r="B104" s="3">
        <v>233.70699999999999</v>
      </c>
      <c r="C104" s="3">
        <v>234.72200000000001</v>
      </c>
      <c r="D104" s="3">
        <v>236.119</v>
      </c>
      <c r="E104" s="3">
        <v>236.59899999999999</v>
      </c>
      <c r="F104" s="3">
        <v>237.80500000000001</v>
      </c>
      <c r="G104" s="3">
        <v>238.63800000000001</v>
      </c>
      <c r="H104" s="3">
        <v>238.654</v>
      </c>
      <c r="I104" s="3">
        <v>238.316</v>
      </c>
      <c r="J104" s="3">
        <v>237.94499999999999</v>
      </c>
      <c r="K104" s="3">
        <v>237.83799999999999</v>
      </c>
      <c r="L104" s="3">
        <v>237.33600000000001</v>
      </c>
      <c r="M104" s="3">
        <v>236.52500000000001</v>
      </c>
      <c r="N104" s="33">
        <v>237.017</v>
      </c>
      <c r="O104" s="11">
        <v>0.1</v>
      </c>
      <c r="P104" s="237" t="s">
        <v>236</v>
      </c>
      <c r="Q104" s="237"/>
      <c r="R104" s="237"/>
      <c r="S104" s="35">
        <f t="shared" si="15"/>
        <v>1.3296447090293104</v>
      </c>
      <c r="T104" s="161">
        <v>2032</v>
      </c>
      <c r="U104" s="162">
        <f t="shared" si="12"/>
        <v>797.78682541758621</v>
      </c>
      <c r="V104" s="162">
        <f t="shared" si="13"/>
        <v>752.08060710446239</v>
      </c>
      <c r="Y104" s="161">
        <v>2032</v>
      </c>
      <c r="Z104" s="161">
        <f t="shared" si="10"/>
        <v>62</v>
      </c>
      <c r="AA104" s="161">
        <f t="shared" si="14"/>
        <v>315.14840000000004</v>
      </c>
      <c r="AR104" s="16"/>
      <c r="AS104" s="16"/>
      <c r="AT104" s="16"/>
    </row>
    <row r="105" spans="1:46" ht="15.75" thickBot="1">
      <c r="A105" s="8">
        <v>2016</v>
      </c>
      <c r="B105" s="4">
        <v>236.916</v>
      </c>
      <c r="C105" s="4">
        <v>237.11099999999999</v>
      </c>
      <c r="D105" s="4">
        <v>238.13200000000001</v>
      </c>
      <c r="E105" s="4">
        <v>239.261</v>
      </c>
      <c r="F105" s="4">
        <v>240.23599999999999</v>
      </c>
      <c r="G105" s="4">
        <v>241.03800000000001</v>
      </c>
      <c r="H105" s="4">
        <v>240.64699999999999</v>
      </c>
      <c r="I105" s="4">
        <v>240.85300000000001</v>
      </c>
      <c r="J105" s="4">
        <v>241.428</v>
      </c>
      <c r="K105" s="4">
        <v>241.72900000000001</v>
      </c>
      <c r="L105" s="4">
        <v>241.35300000000001</v>
      </c>
      <c r="M105" s="4">
        <v>241.43199999999999</v>
      </c>
      <c r="N105" s="32">
        <v>240.00700000000001</v>
      </c>
      <c r="O105" s="9">
        <v>1.3</v>
      </c>
      <c r="P105" s="237" t="s">
        <v>237</v>
      </c>
      <c r="Q105" s="237"/>
      <c r="R105" s="237"/>
      <c r="S105" s="35">
        <f t="shared" si="15"/>
        <v>1.348998595037487</v>
      </c>
      <c r="T105" s="161">
        <v>2033</v>
      </c>
      <c r="U105" s="162">
        <f t="shared" si="12"/>
        <v>809.3991570224922</v>
      </c>
      <c r="V105" s="162">
        <f t="shared" si="13"/>
        <v>741.29061637177711</v>
      </c>
      <c r="Y105" s="161">
        <v>2033</v>
      </c>
      <c r="Z105" s="161">
        <f t="shared" si="10"/>
        <v>63</v>
      </c>
      <c r="AA105" s="161">
        <f t="shared" si="14"/>
        <v>319.73560000000003</v>
      </c>
      <c r="AR105" s="16"/>
      <c r="AS105" s="16"/>
      <c r="AT105" s="16"/>
    </row>
    <row r="106" spans="1:46" ht="15.75" thickBot="1">
      <c r="A106" s="10">
        <v>2017</v>
      </c>
      <c r="B106" s="3">
        <v>242.839</v>
      </c>
      <c r="C106" s="3">
        <v>243.60300000000001</v>
      </c>
      <c r="D106" s="3">
        <v>243.80099999999999</v>
      </c>
      <c r="E106" s="3">
        <v>244.524</v>
      </c>
      <c r="F106" s="3">
        <v>244.733</v>
      </c>
      <c r="G106" s="3">
        <v>244.95500000000001</v>
      </c>
      <c r="H106" s="3">
        <v>244.786</v>
      </c>
      <c r="I106" s="3">
        <v>245.51900000000001</v>
      </c>
      <c r="J106" s="3">
        <v>246.81899999999999</v>
      </c>
      <c r="K106" s="3">
        <v>246.66300000000001</v>
      </c>
      <c r="L106" s="3">
        <v>246.66900000000001</v>
      </c>
      <c r="M106" s="3">
        <v>246.524</v>
      </c>
      <c r="N106" s="33">
        <v>245.12</v>
      </c>
      <c r="O106" s="11">
        <v>2.1</v>
      </c>
      <c r="P106" s="237" t="s">
        <v>238</v>
      </c>
      <c r="Q106" s="237"/>
      <c r="R106" s="237"/>
      <c r="S106" s="35">
        <f t="shared" si="15"/>
        <v>1.3683524810456635</v>
      </c>
      <c r="T106" s="161">
        <v>2034</v>
      </c>
      <c r="U106" s="162">
        <f t="shared" si="12"/>
        <v>821.01148862739808</v>
      </c>
      <c r="V106" s="162">
        <f t="shared" si="13"/>
        <v>730.80585145416842</v>
      </c>
      <c r="W106" s="16">
        <f>895*(S87/S102)</f>
        <v>693.29490414218196</v>
      </c>
      <c r="Y106" s="161">
        <v>2034</v>
      </c>
      <c r="Z106" s="161">
        <f t="shared" si="10"/>
        <v>64</v>
      </c>
      <c r="AA106" s="161">
        <f t="shared" si="14"/>
        <v>324.32280000000003</v>
      </c>
      <c r="AR106" s="16"/>
      <c r="AS106" s="16"/>
      <c r="AT106" s="16"/>
    </row>
    <row r="107" spans="1:46">
      <c r="A107" s="12">
        <v>2018</v>
      </c>
      <c r="B107" s="13">
        <v>247.86699999999999</v>
      </c>
      <c r="C107" s="13">
        <v>248.99100000000001</v>
      </c>
      <c r="D107" s="13">
        <v>249.554</v>
      </c>
      <c r="E107" s="13"/>
      <c r="F107" s="18"/>
      <c r="G107" s="18"/>
      <c r="H107" s="18"/>
      <c r="I107" s="18"/>
      <c r="J107" s="18"/>
      <c r="K107" s="18"/>
      <c r="L107" s="18"/>
      <c r="M107" s="18"/>
      <c r="N107" s="34"/>
      <c r="O107" s="18"/>
      <c r="P107" s="237" t="s">
        <v>239</v>
      </c>
      <c r="Q107" s="237"/>
      <c r="R107" s="237"/>
      <c r="S107" s="35">
        <f t="shared" si="15"/>
        <v>1.3877063670538401</v>
      </c>
      <c r="T107" s="161">
        <v>2035</v>
      </c>
      <c r="U107" s="162">
        <f t="shared" si="12"/>
        <v>832.62382023230407</v>
      </c>
      <c r="V107" s="162">
        <f t="shared" si="13"/>
        <v>720.61354169833692</v>
      </c>
      <c r="W107" s="16">
        <f>895*(S90/S102)</f>
        <v>733.98459346218965</v>
      </c>
      <c r="Y107" s="161">
        <v>2035</v>
      </c>
      <c r="Z107" s="161">
        <f t="shared" si="10"/>
        <v>65</v>
      </c>
      <c r="AA107" s="161">
        <f t="shared" si="14"/>
        <v>328.91</v>
      </c>
      <c r="AR107" s="16"/>
      <c r="AS107" s="16"/>
      <c r="AT107" s="16"/>
    </row>
    <row r="108" spans="1:46">
      <c r="P108" s="237" t="s">
        <v>240</v>
      </c>
      <c r="Q108" s="237"/>
      <c r="R108" s="237"/>
      <c r="S108" s="35">
        <f t="shared" si="15"/>
        <v>1.4070602530620167</v>
      </c>
      <c r="T108" s="161">
        <v>2036</v>
      </c>
      <c r="U108" s="162">
        <f t="shared" si="12"/>
        <v>844.23615183720995</v>
      </c>
      <c r="V108" s="162">
        <f t="shared" si="13"/>
        <v>710.70161908405828</v>
      </c>
      <c r="Y108" s="161">
        <v>2036</v>
      </c>
      <c r="Z108" s="161">
        <f t="shared" si="10"/>
        <v>66</v>
      </c>
      <c r="AA108" s="161">
        <f t="shared" si="14"/>
        <v>333.49720000000002</v>
      </c>
      <c r="AR108" s="16"/>
      <c r="AS108" s="16"/>
      <c r="AT108" s="16"/>
    </row>
    <row r="109" spans="1:46">
      <c r="P109" s="237" t="s">
        <v>241</v>
      </c>
      <c r="Q109" s="237"/>
      <c r="R109" s="237"/>
      <c r="S109" s="35">
        <f t="shared" si="15"/>
        <v>1.4264141390701934</v>
      </c>
      <c r="T109" s="161">
        <v>2037</v>
      </c>
      <c r="U109" s="162">
        <f t="shared" si="12"/>
        <v>855.84848344211605</v>
      </c>
      <c r="V109" s="162">
        <f t="shared" si="13"/>
        <v>701.05867055681949</v>
      </c>
      <c r="Y109" s="161">
        <v>2037</v>
      </c>
      <c r="Z109" s="161">
        <f t="shared" si="10"/>
        <v>67</v>
      </c>
      <c r="AA109" s="161">
        <f t="shared" si="14"/>
        <v>338.08440000000002</v>
      </c>
      <c r="AR109" s="16"/>
      <c r="AS109" s="16"/>
      <c r="AT109" s="16"/>
    </row>
    <row r="110" spans="1:46">
      <c r="P110" s="237" t="s">
        <v>242</v>
      </c>
      <c r="Q110" s="237"/>
      <c r="R110" s="237"/>
      <c r="S110" s="35">
        <f t="shared" si="15"/>
        <v>1.44576802507837</v>
      </c>
      <c r="T110" s="161">
        <v>2038</v>
      </c>
      <c r="U110" s="162">
        <f t="shared" si="12"/>
        <v>867.46081504702204</v>
      </c>
      <c r="V110" s="162">
        <f t="shared" si="13"/>
        <v>691.67389418907192</v>
      </c>
      <c r="Y110" s="161">
        <v>2038</v>
      </c>
      <c r="Z110" s="161">
        <f t="shared" si="10"/>
        <v>68</v>
      </c>
      <c r="AA110" s="161">
        <f t="shared" si="14"/>
        <v>342.67160000000001</v>
      </c>
      <c r="AR110" s="16"/>
      <c r="AS110" s="16"/>
      <c r="AT110" s="16"/>
    </row>
    <row r="111" spans="1:46">
      <c r="P111" s="237" t="s">
        <v>243</v>
      </c>
      <c r="Q111" s="237"/>
      <c r="R111" s="237"/>
      <c r="S111" s="35">
        <f t="shared" ref="S111:S142" si="16">AA111/$N$104</f>
        <v>1.4651219110865465</v>
      </c>
      <c r="T111" s="161">
        <v>2039</v>
      </c>
      <c r="U111" s="162">
        <f t="shared" si="12"/>
        <v>879.07314665192791</v>
      </c>
      <c r="V111" s="162">
        <f t="shared" si="13"/>
        <v>682.53705881607607</v>
      </c>
      <c r="Y111" s="161">
        <v>2039</v>
      </c>
      <c r="Z111" s="161">
        <f t="shared" si="10"/>
        <v>69</v>
      </c>
      <c r="AA111" s="161">
        <f t="shared" si="14"/>
        <v>347.25880000000001</v>
      </c>
      <c r="AR111" s="16"/>
      <c r="AS111" s="16"/>
      <c r="AT111" s="16"/>
    </row>
    <row r="112" spans="1:46">
      <c r="P112" s="237" t="s">
        <v>244</v>
      </c>
      <c r="Q112" s="237"/>
      <c r="R112" s="237"/>
      <c r="S112" s="35">
        <f t="shared" si="16"/>
        <v>1.4844757970947231</v>
      </c>
      <c r="T112" s="161">
        <v>2040</v>
      </c>
      <c r="U112" s="162">
        <f t="shared" si="12"/>
        <v>890.6854782568339</v>
      </c>
      <c r="V112" s="162">
        <f t="shared" si="13"/>
        <v>673.63846682923781</v>
      </c>
      <c r="Y112" s="161">
        <v>2040</v>
      </c>
      <c r="Z112" s="161">
        <f t="shared" si="10"/>
        <v>70</v>
      </c>
      <c r="AA112" s="161">
        <f t="shared" si="14"/>
        <v>351.846</v>
      </c>
      <c r="AR112" s="16"/>
      <c r="AS112" s="16"/>
      <c r="AT112" s="16"/>
    </row>
    <row r="113" spans="16:46">
      <c r="P113" s="237" t="s">
        <v>245</v>
      </c>
      <c r="Q113" s="237"/>
      <c r="R113" s="237"/>
      <c r="S113" s="35">
        <f t="shared" si="16"/>
        <v>1.5038296831029001</v>
      </c>
      <c r="T113" s="161">
        <v>2041</v>
      </c>
      <c r="U113" s="162">
        <f t="shared" si="12"/>
        <v>902.29780986174001</v>
      </c>
      <c r="V113" s="162">
        <f t="shared" si="13"/>
        <v>664.96891984248361</v>
      </c>
      <c r="Y113" s="161">
        <v>2041</v>
      </c>
      <c r="Z113" s="161">
        <f t="shared" si="10"/>
        <v>71</v>
      </c>
      <c r="AA113" s="161">
        <f t="shared" si="14"/>
        <v>356.43320000000006</v>
      </c>
      <c r="AR113" s="16"/>
      <c r="AS113" s="16"/>
      <c r="AT113" s="16"/>
    </row>
    <row r="114" spans="16:46">
      <c r="P114" s="237" t="s">
        <v>246</v>
      </c>
      <c r="Q114" s="237"/>
      <c r="R114" s="237"/>
      <c r="S114" s="35">
        <f t="shared" si="16"/>
        <v>1.5231835691110767</v>
      </c>
      <c r="T114" s="161">
        <v>2042</v>
      </c>
      <c r="U114" s="162">
        <f t="shared" si="12"/>
        <v>913.910141466646</v>
      </c>
      <c r="V114" s="162">
        <f t="shared" si="13"/>
        <v>656.51968697613756</v>
      </c>
      <c r="Y114" s="161">
        <v>2042</v>
      </c>
      <c r="Z114" s="161">
        <f t="shared" si="10"/>
        <v>72</v>
      </c>
      <c r="AA114" s="161">
        <f t="shared" si="14"/>
        <v>361.02040000000005</v>
      </c>
      <c r="AR114" s="16"/>
      <c r="AS114" s="16"/>
      <c r="AT114" s="16"/>
    </row>
    <row r="115" spans="16:46">
      <c r="P115" s="237" t="s">
        <v>247</v>
      </c>
      <c r="Q115" s="237"/>
      <c r="R115" s="237"/>
      <c r="S115" s="35">
        <f t="shared" si="16"/>
        <v>1.5425374551192532</v>
      </c>
      <c r="T115" s="161">
        <v>2043</v>
      </c>
      <c r="U115" s="162">
        <f t="shared" si="12"/>
        <v>925.52247307155199</v>
      </c>
      <c r="V115" s="162">
        <f t="shared" si="13"/>
        <v>648.28247552840799</v>
      </c>
      <c r="Y115" s="161">
        <v>2043</v>
      </c>
      <c r="Z115" s="161">
        <f t="shared" si="10"/>
        <v>73</v>
      </c>
      <c r="AA115" s="161">
        <f t="shared" si="14"/>
        <v>365.60760000000005</v>
      </c>
      <c r="AR115" s="16"/>
      <c r="AS115" s="16"/>
      <c r="AT115" s="16"/>
    </row>
    <row r="116" spans="16:46">
      <c r="P116" s="237" t="s">
        <v>248</v>
      </c>
      <c r="Q116" s="237"/>
      <c r="R116" s="237"/>
      <c r="S116" s="35">
        <f t="shared" si="16"/>
        <v>1.5618913411274298</v>
      </c>
      <c r="T116" s="161">
        <v>2044</v>
      </c>
      <c r="U116" s="162">
        <f t="shared" si="12"/>
        <v>937.13480467645786</v>
      </c>
      <c r="V116" s="162">
        <f t="shared" si="13"/>
        <v>640.24940382739032</v>
      </c>
      <c r="Y116" s="161">
        <v>2044</v>
      </c>
      <c r="Z116" s="161">
        <f t="shared" si="10"/>
        <v>74</v>
      </c>
      <c r="AA116" s="161">
        <f t="shared" si="14"/>
        <v>370.19480000000004</v>
      </c>
      <c r="AR116" s="16"/>
      <c r="AS116" s="16"/>
      <c r="AT116" s="16"/>
    </row>
    <row r="117" spans="16:46">
      <c r="P117" s="237" t="s">
        <v>249</v>
      </c>
      <c r="Q117" s="237"/>
      <c r="R117" s="237"/>
      <c r="S117" s="35">
        <f t="shared" si="16"/>
        <v>1.5812452271356066</v>
      </c>
      <c r="T117" s="161">
        <v>2045</v>
      </c>
      <c r="U117" s="162">
        <f t="shared" si="12"/>
        <v>948.74713628136396</v>
      </c>
      <c r="V117" s="162">
        <f t="shared" si="13"/>
        <v>632.41297607675915</v>
      </c>
      <c r="Y117" s="161">
        <v>2045</v>
      </c>
      <c r="Z117" s="161">
        <f t="shared" si="10"/>
        <v>75</v>
      </c>
      <c r="AA117" s="161">
        <f t="shared" si="14"/>
        <v>374.78200000000004</v>
      </c>
      <c r="AR117" s="16"/>
      <c r="AS117" s="16"/>
      <c r="AT117" s="16"/>
    </row>
    <row r="118" spans="16:46">
      <c r="P118" s="237" t="s">
        <v>250</v>
      </c>
      <c r="Q118" s="237"/>
      <c r="R118" s="237"/>
      <c r="S118" s="35">
        <f t="shared" si="16"/>
        <v>1.6005991131437831</v>
      </c>
      <c r="T118" s="161">
        <v>2046</v>
      </c>
      <c r="U118" s="162">
        <f t="shared" si="12"/>
        <v>960.35946788626984</v>
      </c>
      <c r="V118" s="162">
        <f t="shared" si="13"/>
        <v>624.76605902640483</v>
      </c>
      <c r="Y118" s="161">
        <v>2046</v>
      </c>
      <c r="Z118" s="161">
        <f t="shared" si="10"/>
        <v>76</v>
      </c>
      <c r="AA118" s="161">
        <f t="shared" si="14"/>
        <v>379.36920000000003</v>
      </c>
      <c r="AR118" s="16"/>
      <c r="AS118" s="16"/>
      <c r="AT118" s="16"/>
    </row>
    <row r="119" spans="16:46">
      <c r="P119" s="237" t="s">
        <v>251</v>
      </c>
      <c r="Q119" s="237"/>
      <c r="R119" s="237"/>
      <c r="S119" s="35">
        <f t="shared" si="16"/>
        <v>1.6199529991519597</v>
      </c>
      <c r="T119" s="161">
        <v>2047</v>
      </c>
      <c r="U119" s="162">
        <f t="shared" si="12"/>
        <v>971.97179949117583</v>
      </c>
      <c r="V119" s="162">
        <f t="shared" si="13"/>
        <v>617.30186031538994</v>
      </c>
      <c r="Y119" s="161">
        <v>2047</v>
      </c>
      <c r="Z119" s="161">
        <f t="shared" ref="Z119:Z150" si="17">Y119-1970</f>
        <v>77</v>
      </c>
      <c r="AA119" s="161">
        <f t="shared" si="14"/>
        <v>383.95640000000003</v>
      </c>
      <c r="AR119" s="16"/>
      <c r="AS119" s="16"/>
      <c r="AT119" s="16"/>
    </row>
    <row r="120" spans="16:46">
      <c r="P120" s="237" t="s">
        <v>252</v>
      </c>
      <c r="Q120" s="237"/>
      <c r="R120" s="237"/>
      <c r="S120" s="35">
        <f t="shared" si="16"/>
        <v>1.6393068851601362</v>
      </c>
      <c r="T120" s="161">
        <v>2048</v>
      </c>
      <c r="U120" s="162">
        <f t="shared" si="12"/>
        <v>983.58413109608171</v>
      </c>
      <c r="V120" s="162">
        <f t="shared" si="13"/>
        <v>610.0139083490244</v>
      </c>
      <c r="Y120" s="161">
        <v>2048</v>
      </c>
      <c r="Z120" s="161">
        <f t="shared" si="17"/>
        <v>78</v>
      </c>
      <c r="AA120" s="161">
        <f t="shared" si="14"/>
        <v>388.54360000000003</v>
      </c>
      <c r="AR120" s="16"/>
      <c r="AS120" s="16"/>
      <c r="AT120" s="16"/>
    </row>
    <row r="121" spans="16:46">
      <c r="P121" s="237" t="s">
        <v>253</v>
      </c>
      <c r="Q121" s="237"/>
      <c r="R121" s="237"/>
      <c r="S121" s="35">
        <f t="shared" si="16"/>
        <v>1.658660771168313</v>
      </c>
      <c r="T121" s="161">
        <v>2049</v>
      </c>
      <c r="U121" s="162">
        <f t="shared" si="12"/>
        <v>995.19646270098781</v>
      </c>
      <c r="V121" s="162">
        <f t="shared" si="13"/>
        <v>602.89603358475085</v>
      </c>
      <c r="Y121" s="161">
        <v>2049</v>
      </c>
      <c r="Z121" s="161">
        <f t="shared" si="17"/>
        <v>79</v>
      </c>
      <c r="AA121" s="161">
        <f t="shared" si="14"/>
        <v>393.13080000000002</v>
      </c>
      <c r="AR121" s="16"/>
      <c r="AS121" s="16"/>
      <c r="AT121" s="16"/>
    </row>
    <row r="122" spans="16:46">
      <c r="P122" s="237" t="s">
        <v>254</v>
      </c>
      <c r="Q122" s="237"/>
      <c r="R122" s="237"/>
      <c r="S122" s="35">
        <f t="shared" si="16"/>
        <v>1.6780146571764896</v>
      </c>
      <c r="T122" s="161">
        <v>2050</v>
      </c>
      <c r="U122" s="162">
        <f t="shared" si="12"/>
        <v>1006.8087943058937</v>
      </c>
      <c r="V122" s="162">
        <f t="shared" si="13"/>
        <v>595.94235111310024</v>
      </c>
      <c r="Y122" s="161">
        <v>2050</v>
      </c>
      <c r="Z122" s="161">
        <f t="shared" si="17"/>
        <v>80</v>
      </c>
      <c r="AA122" s="161">
        <f t="shared" ref="AA122:AA153" si="18">(4.5872*Z122)+30.742</f>
        <v>397.71800000000002</v>
      </c>
      <c r="AR122" s="16"/>
      <c r="AS122" s="16"/>
      <c r="AT122" s="16"/>
    </row>
    <row r="123" spans="16:46">
      <c r="P123" s="237" t="s">
        <v>255</v>
      </c>
      <c r="Q123" s="237"/>
      <c r="R123" s="237"/>
      <c r="S123" s="35">
        <f t="shared" si="16"/>
        <v>1.6973685431846661</v>
      </c>
      <c r="T123" s="161">
        <v>2051</v>
      </c>
      <c r="U123" s="162">
        <f t="shared" si="12"/>
        <v>1018.4211259107997</v>
      </c>
      <c r="V123" s="162">
        <f t="shared" si="13"/>
        <v>589.14724443034788</v>
      </c>
      <c r="Y123" s="161">
        <v>2051</v>
      </c>
      <c r="Z123" s="161">
        <f t="shared" si="17"/>
        <v>81</v>
      </c>
      <c r="AA123" s="161">
        <f t="shared" si="18"/>
        <v>402.30520000000001</v>
      </c>
      <c r="AR123" s="16"/>
      <c r="AS123" s="16"/>
      <c r="AT123" s="16"/>
    </row>
    <row r="124" spans="16:46">
      <c r="P124" s="237" t="s">
        <v>256</v>
      </c>
      <c r="Q124" s="237"/>
      <c r="R124" s="237"/>
      <c r="S124" s="35">
        <f t="shared" si="16"/>
        <v>1.7167224291928427</v>
      </c>
      <c r="T124" s="161">
        <v>2052</v>
      </c>
      <c r="U124" s="162">
        <f t="shared" si="12"/>
        <v>1030.0334575157055</v>
      </c>
      <c r="V124" s="162">
        <f t="shared" si="13"/>
        <v>582.50535030882861</v>
      </c>
      <c r="Y124" s="161">
        <v>2052</v>
      </c>
      <c r="Z124" s="161">
        <f t="shared" si="17"/>
        <v>82</v>
      </c>
      <c r="AA124" s="161">
        <f t="shared" si="18"/>
        <v>406.89240000000001</v>
      </c>
      <c r="AR124" s="16"/>
      <c r="AS124" s="16"/>
      <c r="AT124" s="16"/>
    </row>
    <row r="125" spans="16:46">
      <c r="P125" s="237" t="s">
        <v>257</v>
      </c>
      <c r="Q125" s="237"/>
      <c r="R125" s="237"/>
      <c r="S125" s="35">
        <f t="shared" si="16"/>
        <v>1.7360763152010195</v>
      </c>
      <c r="T125" s="161">
        <v>2053</v>
      </c>
      <c r="U125" s="162">
        <f t="shared" si="12"/>
        <v>1041.6457891206117</v>
      </c>
      <c r="V125" s="162">
        <f t="shared" si="13"/>
        <v>576.01154467925016</v>
      </c>
      <c r="Y125" s="161">
        <v>2053</v>
      </c>
      <c r="Z125" s="161">
        <f t="shared" si="17"/>
        <v>83</v>
      </c>
      <c r="AA125" s="161">
        <f t="shared" si="18"/>
        <v>411.4796</v>
      </c>
      <c r="AR125" s="16"/>
      <c r="AS125" s="16"/>
      <c r="AT125" s="16"/>
    </row>
    <row r="126" spans="16:46">
      <c r="P126" s="237" t="s">
        <v>258</v>
      </c>
      <c r="Q126" s="237"/>
      <c r="R126" s="237"/>
      <c r="S126" s="35">
        <f t="shared" si="16"/>
        <v>1.7554302012091962</v>
      </c>
      <c r="T126" s="161">
        <v>2054</v>
      </c>
      <c r="U126" s="162">
        <f t="shared" si="12"/>
        <v>1053.2581207255178</v>
      </c>
      <c r="V126" s="162">
        <f t="shared" si="13"/>
        <v>569.66092944690604</v>
      </c>
      <c r="Y126" s="161">
        <v>2054</v>
      </c>
      <c r="Z126" s="161">
        <f t="shared" si="17"/>
        <v>84</v>
      </c>
      <c r="AA126" s="161">
        <f t="shared" si="18"/>
        <v>416.06680000000006</v>
      </c>
      <c r="AR126" s="16"/>
      <c r="AS126" s="16"/>
      <c r="AT126" s="16"/>
    </row>
    <row r="127" spans="16:46">
      <c r="P127" s="237" t="s">
        <v>259</v>
      </c>
      <c r="Q127" s="237"/>
      <c r="R127" s="237"/>
      <c r="S127" s="35">
        <f t="shared" si="16"/>
        <v>1.7747840872173728</v>
      </c>
      <c r="T127" s="161">
        <v>2055</v>
      </c>
      <c r="U127" s="162">
        <f t="shared" si="12"/>
        <v>1064.8704523304236</v>
      </c>
      <c r="V127" s="162">
        <f t="shared" si="13"/>
        <v>563.44882017049633</v>
      </c>
      <c r="Y127" s="161">
        <v>2055</v>
      </c>
      <c r="Z127" s="161">
        <f t="shared" si="17"/>
        <v>85</v>
      </c>
      <c r="AA127" s="161">
        <f t="shared" si="18"/>
        <v>420.65400000000005</v>
      </c>
      <c r="AR127" s="16"/>
      <c r="AS127" s="16"/>
      <c r="AT127" s="16"/>
    </row>
    <row r="128" spans="16:46">
      <c r="P128" s="237" t="s">
        <v>260</v>
      </c>
      <c r="Q128" s="237"/>
      <c r="R128" s="237"/>
      <c r="S128" s="35">
        <f t="shared" si="16"/>
        <v>1.7941379732255494</v>
      </c>
      <c r="T128" s="161">
        <v>2056</v>
      </c>
      <c r="U128" s="162">
        <f t="shared" si="12"/>
        <v>1076.4827839353295</v>
      </c>
      <c r="V128" s="162">
        <f t="shared" si="13"/>
        <v>557.37073453842197</v>
      </c>
      <c r="Y128" s="161">
        <v>2056</v>
      </c>
      <c r="Z128" s="161">
        <f t="shared" si="17"/>
        <v>86</v>
      </c>
      <c r="AA128" s="161">
        <f t="shared" si="18"/>
        <v>425.24120000000005</v>
      </c>
      <c r="AR128" s="16"/>
      <c r="AS128" s="16"/>
      <c r="AT128" s="16"/>
    </row>
    <row r="129" spans="16:46">
      <c r="P129" s="237" t="s">
        <v>261</v>
      </c>
      <c r="Q129" s="237"/>
      <c r="R129" s="237"/>
      <c r="S129" s="35">
        <f t="shared" si="16"/>
        <v>1.8134918592337261</v>
      </c>
      <c r="T129" s="161">
        <v>2057</v>
      </c>
      <c r="U129" s="162">
        <f t="shared" si="12"/>
        <v>1088.0951155402356</v>
      </c>
      <c r="V129" s="162">
        <f t="shared" si="13"/>
        <v>551.42238158297585</v>
      </c>
      <c r="Y129" s="161">
        <v>2057</v>
      </c>
      <c r="Z129" s="161">
        <f t="shared" si="17"/>
        <v>87</v>
      </c>
      <c r="AA129" s="161">
        <f t="shared" si="18"/>
        <v>429.82840000000004</v>
      </c>
      <c r="AR129" s="16"/>
      <c r="AS129" s="16"/>
      <c r="AT129" s="16"/>
    </row>
    <row r="130" spans="16:46">
      <c r="P130" s="237" t="s">
        <v>262</v>
      </c>
      <c r="Q130" s="237"/>
      <c r="R130" s="237"/>
      <c r="S130" s="35">
        <f t="shared" si="16"/>
        <v>1.8328457452419027</v>
      </c>
      <c r="T130" s="161">
        <v>2058</v>
      </c>
      <c r="U130" s="162">
        <f t="shared" si="12"/>
        <v>1099.7074471451417</v>
      </c>
      <c r="V130" s="162">
        <f t="shared" si="13"/>
        <v>545.59965157788986</v>
      </c>
      <c r="Y130" s="161">
        <v>2058</v>
      </c>
      <c r="Z130" s="161">
        <f t="shared" si="17"/>
        <v>88</v>
      </c>
      <c r="AA130" s="161">
        <f t="shared" si="18"/>
        <v>434.41560000000004</v>
      </c>
      <c r="AR130" s="16"/>
      <c r="AS130" s="16"/>
      <c r="AT130" s="16"/>
    </row>
    <row r="131" spans="16:46">
      <c r="P131" s="237" t="s">
        <v>263</v>
      </c>
      <c r="Q131" s="237"/>
      <c r="R131" s="237"/>
      <c r="S131" s="35">
        <f t="shared" si="16"/>
        <v>1.8521996312500792</v>
      </c>
      <c r="T131" s="161">
        <v>2059</v>
      </c>
      <c r="U131" s="162">
        <f t="shared" si="12"/>
        <v>1111.3197787500476</v>
      </c>
      <c r="V131" s="162">
        <f t="shared" si="13"/>
        <v>539.89860656925191</v>
      </c>
      <c r="Y131" s="161">
        <v>2059</v>
      </c>
      <c r="Z131" s="161">
        <f t="shared" si="17"/>
        <v>89</v>
      </c>
      <c r="AA131" s="161">
        <f t="shared" si="18"/>
        <v>439.00280000000004</v>
      </c>
      <c r="AR131" s="16"/>
      <c r="AS131" s="16"/>
      <c r="AT131" s="16"/>
    </row>
    <row r="132" spans="16:46">
      <c r="P132" s="237" t="s">
        <v>264</v>
      </c>
      <c r="Q132" s="237"/>
      <c r="R132" s="237"/>
      <c r="S132" s="35">
        <f t="shared" si="16"/>
        <v>1.8715535172582558</v>
      </c>
      <c r="T132" s="161">
        <v>2060</v>
      </c>
      <c r="U132" s="162">
        <f t="shared" si="12"/>
        <v>1122.9321103549535</v>
      </c>
      <c r="V132" s="162">
        <f t="shared" si="13"/>
        <v>534.31547149394714</v>
      </c>
      <c r="Y132" s="161">
        <v>2060</v>
      </c>
      <c r="Z132" s="161">
        <f t="shared" si="17"/>
        <v>90</v>
      </c>
      <c r="AA132" s="161">
        <f t="shared" si="18"/>
        <v>443.59000000000003</v>
      </c>
      <c r="AR132" s="16"/>
      <c r="AS132" s="16"/>
      <c r="AT132" s="16"/>
    </row>
    <row r="133" spans="16:46">
      <c r="P133" s="237" t="s">
        <v>265</v>
      </c>
      <c r="Q133" s="237"/>
      <c r="R133" s="237"/>
      <c r="S133" s="35">
        <f t="shared" si="16"/>
        <v>1.8909074032664326</v>
      </c>
      <c r="T133" s="161">
        <v>2061</v>
      </c>
      <c r="U133" s="162">
        <f t="shared" si="12"/>
        <v>1134.5444419598596</v>
      </c>
      <c r="V133" s="162">
        <f t="shared" si="13"/>
        <v>528.84662584352793</v>
      </c>
      <c r="Y133" s="161">
        <v>2061</v>
      </c>
      <c r="Z133" s="161">
        <f t="shared" si="17"/>
        <v>91</v>
      </c>
      <c r="AA133" s="161">
        <f t="shared" si="18"/>
        <v>448.17720000000003</v>
      </c>
      <c r="AR133" s="16"/>
      <c r="AS133" s="16"/>
      <c r="AT133" s="16"/>
    </row>
    <row r="134" spans="16:46">
      <c r="P134" s="237" t="s">
        <v>266</v>
      </c>
      <c r="Q134" s="237"/>
      <c r="R134" s="237"/>
      <c r="S134" s="35">
        <f t="shared" si="16"/>
        <v>1.9102612892746091</v>
      </c>
      <c r="T134" s="161">
        <v>2062</v>
      </c>
      <c r="U134" s="162">
        <f t="shared" si="12"/>
        <v>1146.1567735647654</v>
      </c>
      <c r="V134" s="162">
        <f t="shared" si="13"/>
        <v>523.48859583483147</v>
      </c>
      <c r="Y134" s="161">
        <v>2062</v>
      </c>
      <c r="Z134" s="161">
        <f t="shared" si="17"/>
        <v>92</v>
      </c>
      <c r="AA134" s="161">
        <f t="shared" si="18"/>
        <v>452.76440000000002</v>
      </c>
      <c r="AR134" s="16"/>
      <c r="AS134" s="16"/>
      <c r="AT134" s="16"/>
    </row>
    <row r="135" spans="16:46">
      <c r="P135" s="237" t="s">
        <v>267</v>
      </c>
      <c r="Q135" s="237"/>
      <c r="R135" s="237"/>
      <c r="S135" s="35">
        <f t="shared" si="16"/>
        <v>1.9296151752827857</v>
      </c>
      <c r="T135" s="161">
        <v>2063</v>
      </c>
      <c r="U135" s="162">
        <f t="shared" si="12"/>
        <v>1157.7691051696713</v>
      </c>
      <c r="V135" s="162">
        <f t="shared" si="13"/>
        <v>518.23804705176497</v>
      </c>
      <c r="Y135" s="161">
        <v>2063</v>
      </c>
      <c r="Z135" s="161">
        <f t="shared" si="17"/>
        <v>93</v>
      </c>
      <c r="AA135" s="161">
        <f t="shared" si="18"/>
        <v>457.35160000000002</v>
      </c>
      <c r="AR135" s="16"/>
      <c r="AS135" s="16"/>
      <c r="AT135" s="16"/>
    </row>
    <row r="136" spans="16:46">
      <c r="P136" s="237" t="s">
        <v>268</v>
      </c>
      <c r="Q136" s="237"/>
      <c r="R136" s="237"/>
      <c r="S136" s="35">
        <f t="shared" si="16"/>
        <v>1.9489690612909623</v>
      </c>
      <c r="T136" s="161">
        <v>2064</v>
      </c>
      <c r="U136" s="162">
        <f t="shared" si="12"/>
        <v>1169.3814367745774</v>
      </c>
      <c r="V136" s="162">
        <f t="shared" si="13"/>
        <v>513.09177752550772</v>
      </c>
      <c r="Y136" s="161">
        <v>2064</v>
      </c>
      <c r="Z136" s="161">
        <f t="shared" si="17"/>
        <v>94</v>
      </c>
      <c r="AA136" s="161">
        <f t="shared" si="18"/>
        <v>461.93880000000001</v>
      </c>
      <c r="AR136" s="16"/>
      <c r="AS136" s="16"/>
      <c r="AT136" s="16"/>
    </row>
    <row r="137" spans="16:46">
      <c r="P137" s="237" t="s">
        <v>269</v>
      </c>
      <c r="Q137" s="237"/>
      <c r="R137" s="237"/>
      <c r="S137" s="35">
        <f t="shared" si="16"/>
        <v>1.968322947299139</v>
      </c>
      <c r="T137" s="161">
        <v>2065</v>
      </c>
      <c r="U137" s="162">
        <f t="shared" si="12"/>
        <v>1180.9937683794835</v>
      </c>
      <c r="V137" s="162">
        <f t="shared" si="13"/>
        <v>508.04671122295429</v>
      </c>
      <c r="Y137" s="161">
        <v>2065</v>
      </c>
      <c r="Z137" s="161">
        <f t="shared" si="17"/>
        <v>95</v>
      </c>
      <c r="AA137" s="161">
        <f t="shared" si="18"/>
        <v>466.52600000000001</v>
      </c>
      <c r="AR137" s="16"/>
      <c r="AS137" s="16"/>
      <c r="AT137" s="16"/>
    </row>
    <row r="138" spans="16:46">
      <c r="P138" s="237" t="s">
        <v>270</v>
      </c>
      <c r="Q138" s="237"/>
      <c r="R138" s="237"/>
      <c r="S138" s="35">
        <f t="shared" si="16"/>
        <v>1.9876768333073158</v>
      </c>
      <c r="T138" s="161">
        <v>2066</v>
      </c>
      <c r="U138" s="162">
        <f t="shared" si="12"/>
        <v>1192.6060999843894</v>
      </c>
      <c r="V138" s="162">
        <f t="shared" si="13"/>
        <v>503.09989191557349</v>
      </c>
      <c r="Y138" s="161">
        <v>2066</v>
      </c>
      <c r="Z138" s="161">
        <f t="shared" si="17"/>
        <v>96</v>
      </c>
      <c r="AA138" s="161">
        <f t="shared" si="18"/>
        <v>471.11320000000006</v>
      </c>
      <c r="AR138" s="16"/>
      <c r="AS138" s="16"/>
      <c r="AT138" s="16"/>
    </row>
    <row r="139" spans="16:46">
      <c r="P139" s="237" t="s">
        <v>271</v>
      </c>
      <c r="Q139" s="237"/>
      <c r="R139" s="237"/>
      <c r="S139" s="35">
        <f t="shared" si="16"/>
        <v>2.0070307193154924</v>
      </c>
      <c r="T139" s="161">
        <v>2067</v>
      </c>
      <c r="U139" s="162">
        <f t="shared" si="12"/>
        <v>1204.2184315892955</v>
      </c>
      <c r="V139" s="162">
        <f t="shared" si="13"/>
        <v>498.24847740300402</v>
      </c>
      <c r="Y139" s="161">
        <v>2067</v>
      </c>
      <c r="Z139" s="161">
        <f t="shared" si="17"/>
        <v>97</v>
      </c>
      <c r="AA139" s="161">
        <f t="shared" si="18"/>
        <v>475.70040000000006</v>
      </c>
      <c r="AR139" s="16"/>
      <c r="AS139" s="16"/>
      <c r="AT139" s="16"/>
    </row>
    <row r="140" spans="16:46">
      <c r="P140" s="237" t="s">
        <v>272</v>
      </c>
      <c r="Q140" s="237"/>
      <c r="R140" s="237"/>
      <c r="S140" s="35">
        <f t="shared" si="16"/>
        <v>2.0263846053236692</v>
      </c>
      <c r="T140" s="161">
        <v>2068</v>
      </c>
      <c r="U140" s="162">
        <f t="shared" si="12"/>
        <v>1215.8307631942014</v>
      </c>
      <c r="V140" s="162">
        <f t="shared" si="13"/>
        <v>493.48973406767101</v>
      </c>
      <c r="Y140" s="161">
        <v>2068</v>
      </c>
      <c r="Z140" s="161">
        <f t="shared" si="17"/>
        <v>98</v>
      </c>
      <c r="AA140" s="161">
        <f t="shared" si="18"/>
        <v>480.28760000000005</v>
      </c>
      <c r="AR140" s="16"/>
      <c r="AS140" s="16"/>
      <c r="AT140" s="16"/>
    </row>
    <row r="141" spans="16:46">
      <c r="P141" s="237" t="s">
        <v>273</v>
      </c>
      <c r="Q141" s="237"/>
      <c r="R141" s="237"/>
      <c r="S141" s="35">
        <f t="shared" si="16"/>
        <v>2.0457384913318455</v>
      </c>
      <c r="T141" s="161">
        <v>2069</v>
      </c>
      <c r="U141" s="162">
        <f t="shared" si="12"/>
        <v>1227.4430947991073</v>
      </c>
      <c r="V141" s="162">
        <f t="shared" si="13"/>
        <v>488.82103173850237</v>
      </c>
      <c r="Y141" s="161">
        <v>2069</v>
      </c>
      <c r="Z141" s="161">
        <f t="shared" si="17"/>
        <v>99</v>
      </c>
      <c r="AA141" s="161">
        <f t="shared" si="18"/>
        <v>484.87480000000005</v>
      </c>
      <c r="AR141" s="16"/>
      <c r="AS141" s="16"/>
      <c r="AT141" s="16"/>
    </row>
    <row r="142" spans="16:46">
      <c r="P142" s="237" t="s">
        <v>274</v>
      </c>
      <c r="Q142" s="237"/>
      <c r="R142" s="237"/>
      <c r="S142" s="35">
        <f t="shared" si="16"/>
        <v>2.0650923773400223</v>
      </c>
      <c r="T142" s="161">
        <v>2070</v>
      </c>
      <c r="U142" s="162">
        <f t="shared" si="12"/>
        <v>1239.0554264040134</v>
      </c>
      <c r="V142" s="162">
        <f t="shared" si="13"/>
        <v>484.23983884346478</v>
      </c>
      <c r="Y142" s="161">
        <v>2070</v>
      </c>
      <c r="Z142" s="161">
        <f t="shared" si="17"/>
        <v>100</v>
      </c>
      <c r="AA142" s="161">
        <f t="shared" si="18"/>
        <v>489.46200000000005</v>
      </c>
      <c r="AR142" s="16"/>
      <c r="AS142" s="16"/>
      <c r="AT142" s="16"/>
    </row>
    <row r="143" spans="16:46">
      <c r="P143" s="237" t="s">
        <v>275</v>
      </c>
      <c r="Q143" s="237"/>
      <c r="R143" s="237"/>
      <c r="S143" s="35">
        <f t="shared" ref="S143:S170" si="19">AA143/$N$104</f>
        <v>2.084446263348199</v>
      </c>
      <c r="T143" s="161">
        <v>2071</v>
      </c>
      <c r="U143" s="162">
        <f t="shared" si="12"/>
        <v>1250.6677580089195</v>
      </c>
      <c r="V143" s="162">
        <f t="shared" si="13"/>
        <v>479.74371783215105</v>
      </c>
      <c r="Y143" s="161">
        <v>2071</v>
      </c>
      <c r="Z143" s="161">
        <f t="shared" si="17"/>
        <v>101</v>
      </c>
      <c r="AA143" s="161">
        <f t="shared" si="18"/>
        <v>494.04920000000004</v>
      </c>
      <c r="AR143" s="16"/>
      <c r="AS143" s="16"/>
      <c r="AT143" s="16"/>
    </row>
    <row r="144" spans="16:46">
      <c r="P144" s="237" t="s">
        <v>276</v>
      </c>
      <c r="Q144" s="237"/>
      <c r="R144" s="237"/>
      <c r="S144" s="35">
        <f t="shared" si="19"/>
        <v>2.1038001493563754</v>
      </c>
      <c r="T144" s="161">
        <v>2072</v>
      </c>
      <c r="U144" s="162">
        <f t="shared" si="12"/>
        <v>1262.2800896138253</v>
      </c>
      <c r="V144" s="162">
        <f t="shared" si="13"/>
        <v>475.33032085102491</v>
      </c>
      <c r="Y144" s="161">
        <v>2072</v>
      </c>
      <c r="Z144" s="161">
        <f t="shared" si="17"/>
        <v>102</v>
      </c>
      <c r="AA144" s="161">
        <f t="shared" si="18"/>
        <v>498.63640000000004</v>
      </c>
      <c r="AR144" s="16"/>
      <c r="AS144" s="16"/>
      <c r="AT144" s="16"/>
    </row>
    <row r="145" spans="16:46">
      <c r="P145" s="237" t="s">
        <v>277</v>
      </c>
      <c r="Q145" s="237"/>
      <c r="R145" s="237"/>
      <c r="S145" s="35">
        <f t="shared" si="19"/>
        <v>2.1231540353645522</v>
      </c>
      <c r="T145" s="161">
        <v>2073</v>
      </c>
      <c r="U145" s="162">
        <f t="shared" si="12"/>
        <v>1273.8924212187312</v>
      </c>
      <c r="V145" s="162">
        <f t="shared" si="13"/>
        <v>470.99738565520369</v>
      </c>
      <c r="Y145" s="161">
        <v>2073</v>
      </c>
      <c r="Z145" s="161">
        <f t="shared" si="17"/>
        <v>103</v>
      </c>
      <c r="AA145" s="161">
        <f t="shared" si="18"/>
        <v>503.22360000000003</v>
      </c>
      <c r="AR145" s="16"/>
      <c r="AS145" s="16"/>
      <c r="AT145" s="16"/>
    </row>
    <row r="146" spans="16:46">
      <c r="P146" s="237" t="s">
        <v>278</v>
      </c>
      <c r="Q146" s="237"/>
      <c r="R146" s="237"/>
      <c r="S146" s="35">
        <f t="shared" si="19"/>
        <v>2.1425079213727285</v>
      </c>
      <c r="T146" s="161">
        <v>2074</v>
      </c>
      <c r="U146" s="162">
        <f t="shared" si="12"/>
        <v>1285.5047528236371</v>
      </c>
      <c r="V146" s="162">
        <f t="shared" si="13"/>
        <v>466.74273174182196</v>
      </c>
      <c r="Y146" s="161">
        <v>2074</v>
      </c>
      <c r="Z146" s="161">
        <f t="shared" si="17"/>
        <v>104</v>
      </c>
      <c r="AA146" s="161">
        <f t="shared" si="18"/>
        <v>507.81080000000003</v>
      </c>
      <c r="AR146" s="16"/>
      <c r="AS146" s="16"/>
      <c r="AT146" s="16"/>
    </row>
    <row r="147" spans="16:46">
      <c r="P147" s="237" t="s">
        <v>279</v>
      </c>
      <c r="Q147" s="237"/>
      <c r="R147" s="237"/>
      <c r="S147" s="35">
        <f t="shared" si="19"/>
        <v>2.1618618073809053</v>
      </c>
      <c r="T147" s="161">
        <v>2075</v>
      </c>
      <c r="U147" s="162">
        <f t="shared" si="12"/>
        <v>1297.1170844285432</v>
      </c>
      <c r="V147" s="162">
        <f t="shared" si="13"/>
        <v>462.56425669108779</v>
      </c>
      <c r="Y147" s="161">
        <v>2075</v>
      </c>
      <c r="Z147" s="161">
        <f t="shared" si="17"/>
        <v>105</v>
      </c>
      <c r="AA147" s="161">
        <f t="shared" si="18"/>
        <v>512.39800000000002</v>
      </c>
      <c r="AR147" s="16"/>
      <c r="AS147" s="16"/>
      <c r="AT147" s="16"/>
    </row>
    <row r="148" spans="16:46">
      <c r="P148" s="237" t="s">
        <v>280</v>
      </c>
      <c r="Q148" s="237"/>
      <c r="R148" s="237"/>
      <c r="S148" s="35">
        <f t="shared" si="19"/>
        <v>2.1812156933890816</v>
      </c>
      <c r="T148" s="161">
        <v>2076</v>
      </c>
      <c r="U148" s="162">
        <f t="shared" si="12"/>
        <v>1308.7294160334491</v>
      </c>
      <c r="V148" s="162">
        <f t="shared" si="13"/>
        <v>458.4599327021354</v>
      </c>
      <c r="Y148" s="161">
        <v>2076</v>
      </c>
      <c r="Z148" s="161">
        <f t="shared" si="17"/>
        <v>106</v>
      </c>
      <c r="AA148" s="161">
        <f t="shared" si="18"/>
        <v>516.98519999999996</v>
      </c>
      <c r="AR148" s="16"/>
      <c r="AS148" s="16"/>
      <c r="AT148" s="16"/>
    </row>
    <row r="149" spans="16:46">
      <c r="P149" s="237" t="s">
        <v>281</v>
      </c>
      <c r="Q149" s="237"/>
      <c r="R149" s="237"/>
      <c r="S149" s="35">
        <f t="shared" si="19"/>
        <v>2.2005695793972584</v>
      </c>
      <c r="T149" s="161">
        <v>2077</v>
      </c>
      <c r="U149" s="162">
        <f t="shared" si="12"/>
        <v>1320.3417476383549</v>
      </c>
      <c r="V149" s="162">
        <f t="shared" si="13"/>
        <v>454.4278033116783</v>
      </c>
      <c r="Y149" s="161">
        <v>2077</v>
      </c>
      <c r="Z149" s="161">
        <f t="shared" si="17"/>
        <v>107</v>
      </c>
      <c r="AA149" s="161">
        <f t="shared" si="18"/>
        <v>521.57240000000002</v>
      </c>
      <c r="AR149" s="16"/>
      <c r="AS149" s="16"/>
      <c r="AT149" s="16"/>
    </row>
    <row r="150" spans="16:46">
      <c r="P150" s="237" t="s">
        <v>282</v>
      </c>
      <c r="Q150" s="237"/>
      <c r="R150" s="237"/>
      <c r="S150" s="35">
        <f t="shared" si="19"/>
        <v>2.2199234654054347</v>
      </c>
      <c r="T150" s="161">
        <v>2078</v>
      </c>
      <c r="U150" s="162">
        <f t="shared" si="12"/>
        <v>1331.9540792432608</v>
      </c>
      <c r="V150" s="162">
        <f t="shared" si="13"/>
        <v>450.46598028430924</v>
      </c>
      <c r="Y150" s="161">
        <v>2078</v>
      </c>
      <c r="Z150" s="161">
        <f t="shared" si="17"/>
        <v>108</v>
      </c>
      <c r="AA150" s="161">
        <f t="shared" si="18"/>
        <v>526.15959999999995</v>
      </c>
      <c r="AR150" s="16"/>
      <c r="AS150" s="16"/>
      <c r="AT150" s="16"/>
    </row>
    <row r="151" spans="16:46">
      <c r="P151" s="237" t="s">
        <v>283</v>
      </c>
      <c r="Q151" s="237"/>
      <c r="R151" s="237"/>
      <c r="S151" s="35">
        <f t="shared" si="19"/>
        <v>2.2392773514136119</v>
      </c>
      <c r="T151" s="161">
        <v>2079</v>
      </c>
      <c r="U151" s="162">
        <f t="shared" si="12"/>
        <v>1343.5664108481672</v>
      </c>
      <c r="V151" s="162">
        <f t="shared" si="13"/>
        <v>446.57264066406049</v>
      </c>
      <c r="Y151" s="161">
        <v>2079</v>
      </c>
      <c r="Z151" s="161">
        <f t="shared" ref="Z151:Z182" si="20">Y151-1970</f>
        <v>109</v>
      </c>
      <c r="AA151" s="161">
        <f t="shared" si="18"/>
        <v>530.74680000000001</v>
      </c>
      <c r="AR151" s="16"/>
      <c r="AS151" s="16"/>
      <c r="AT151" s="16"/>
    </row>
    <row r="152" spans="16:46">
      <c r="P152" s="237" t="s">
        <v>284</v>
      </c>
      <c r="Q152" s="237"/>
      <c r="R152" s="237"/>
      <c r="S152" s="35">
        <f t="shared" si="19"/>
        <v>2.2586312374217887</v>
      </c>
      <c r="T152" s="161">
        <v>2080</v>
      </c>
      <c r="U152" s="162">
        <f t="shared" ref="U152:U175" si="21">600*S152</f>
        <v>1355.1787424530733</v>
      </c>
      <c r="V152" s="162">
        <f t="shared" ref="V152:V175" si="22">1000/S152</f>
        <v>442.7460239775541</v>
      </c>
      <c r="Y152" s="161">
        <v>2080</v>
      </c>
      <c r="Z152" s="161">
        <f t="shared" si="20"/>
        <v>110</v>
      </c>
      <c r="AA152" s="161">
        <f t="shared" si="18"/>
        <v>535.33400000000006</v>
      </c>
      <c r="AR152" s="16"/>
      <c r="AS152" s="16"/>
      <c r="AT152" s="16"/>
    </row>
    <row r="153" spans="16:46">
      <c r="P153" s="237" t="s">
        <v>285</v>
      </c>
      <c r="Q153" s="237"/>
      <c r="R153" s="237"/>
      <c r="S153" s="35">
        <f t="shared" si="19"/>
        <v>2.2779851234299651</v>
      </c>
      <c r="T153" s="161">
        <v>2081</v>
      </c>
      <c r="U153" s="162">
        <f t="shared" si="21"/>
        <v>1366.7910740579791</v>
      </c>
      <c r="V153" s="162">
        <f t="shared" si="22"/>
        <v>438.98442957972384</v>
      </c>
      <c r="Y153" s="161">
        <v>2081</v>
      </c>
      <c r="Z153" s="161">
        <f t="shared" si="20"/>
        <v>111</v>
      </c>
      <c r="AA153" s="161">
        <f t="shared" si="18"/>
        <v>539.9212</v>
      </c>
      <c r="AR153" s="16"/>
      <c r="AS153" s="16"/>
      <c r="AT153" s="16"/>
    </row>
    <row r="154" spans="16:46">
      <c r="P154" s="237" t="s">
        <v>286</v>
      </c>
      <c r="Q154" s="237"/>
      <c r="R154" s="237"/>
      <c r="S154" s="35">
        <f t="shared" si="19"/>
        <v>2.2973390094381414</v>
      </c>
      <c r="T154" s="161">
        <v>2082</v>
      </c>
      <c r="U154" s="162">
        <f t="shared" si="21"/>
        <v>1378.4034056628848</v>
      </c>
      <c r="V154" s="162">
        <f t="shared" si="22"/>
        <v>435.28621413370303</v>
      </c>
      <c r="Y154" s="161">
        <v>2082</v>
      </c>
      <c r="Z154" s="161">
        <f t="shared" si="20"/>
        <v>112</v>
      </c>
      <c r="AA154" s="161">
        <f t="shared" ref="AA154:AA185" si="23">(4.5872*Z154)+30.742</f>
        <v>544.50839999999994</v>
      </c>
      <c r="AR154" s="16"/>
      <c r="AS154" s="16"/>
      <c r="AT154" s="16"/>
    </row>
    <row r="155" spans="16:46">
      <c r="P155" s="237" t="s">
        <v>287</v>
      </c>
      <c r="Q155" s="237"/>
      <c r="R155" s="237"/>
      <c r="S155" s="35">
        <f t="shared" si="19"/>
        <v>2.3166928954463182</v>
      </c>
      <c r="T155" s="161">
        <v>2083</v>
      </c>
      <c r="U155" s="162">
        <f t="shared" si="21"/>
        <v>1390.0157372677909</v>
      </c>
      <c r="V155" s="162">
        <f t="shared" si="22"/>
        <v>431.64978921703249</v>
      </c>
      <c r="Y155" s="161">
        <v>2083</v>
      </c>
      <c r="Z155" s="161">
        <f t="shared" si="20"/>
        <v>113</v>
      </c>
      <c r="AA155" s="161">
        <f t="shared" si="23"/>
        <v>549.09559999999999</v>
      </c>
      <c r="AR155" s="16"/>
      <c r="AS155" s="16"/>
      <c r="AT155" s="16"/>
    </row>
    <row r="156" spans="16:46">
      <c r="P156" s="237" t="s">
        <v>288</v>
      </c>
      <c r="Q156" s="237"/>
      <c r="R156" s="237"/>
      <c r="S156" s="35">
        <f t="shared" si="19"/>
        <v>2.3360467814544945</v>
      </c>
      <c r="T156" s="161">
        <v>2084</v>
      </c>
      <c r="U156" s="162">
        <f t="shared" si="21"/>
        <v>1401.6280688726968</v>
      </c>
      <c r="V156" s="162">
        <f t="shared" si="22"/>
        <v>428.07361904686229</v>
      </c>
      <c r="Y156" s="161">
        <v>2084</v>
      </c>
      <c r="Z156" s="161">
        <f t="shared" si="20"/>
        <v>114</v>
      </c>
      <c r="AA156" s="161">
        <f t="shared" si="23"/>
        <v>553.68279999999993</v>
      </c>
      <c r="AR156" s="16"/>
      <c r="AS156" s="16"/>
      <c r="AT156" s="16"/>
    </row>
    <row r="157" spans="16:46">
      <c r="P157" s="237" t="s">
        <v>289</v>
      </c>
      <c r="Q157" s="237"/>
      <c r="R157" s="237"/>
      <c r="S157" s="35">
        <f t="shared" si="19"/>
        <v>2.3554006674626713</v>
      </c>
      <c r="T157" s="161">
        <v>2085</v>
      </c>
      <c r="U157" s="162">
        <f t="shared" si="21"/>
        <v>1413.2404004776029</v>
      </c>
      <c r="V157" s="162">
        <f t="shared" si="22"/>
        <v>424.55621831730167</v>
      </c>
      <c r="Y157" s="161">
        <v>2085</v>
      </c>
      <c r="Z157" s="161">
        <f t="shared" si="20"/>
        <v>115</v>
      </c>
      <c r="AA157" s="161">
        <f t="shared" si="23"/>
        <v>558.27</v>
      </c>
      <c r="AR157" s="16"/>
      <c r="AS157" s="16"/>
      <c r="AT157" s="16"/>
    </row>
    <row r="158" spans="16:46">
      <c r="P158" s="237" t="s">
        <v>290</v>
      </c>
      <c r="Q158" s="237"/>
      <c r="R158" s="237"/>
      <c r="S158" s="35">
        <f t="shared" si="19"/>
        <v>2.3747545534708481</v>
      </c>
      <c r="T158" s="161">
        <v>2086</v>
      </c>
      <c r="U158" s="162">
        <f t="shared" si="21"/>
        <v>1424.8527320825087</v>
      </c>
      <c r="V158" s="162">
        <f t="shared" si="22"/>
        <v>421.09615014252284</v>
      </c>
      <c r="Y158" s="161">
        <v>2086</v>
      </c>
      <c r="Z158" s="161">
        <f t="shared" si="20"/>
        <v>116</v>
      </c>
      <c r="AA158" s="161">
        <f t="shared" si="23"/>
        <v>562.85720000000003</v>
      </c>
      <c r="AR158" s="16"/>
      <c r="AS158" s="16"/>
      <c r="AT158" s="16"/>
    </row>
    <row r="159" spans="16:46">
      <c r="P159" s="237" t="s">
        <v>291</v>
      </c>
      <c r="Q159" s="237"/>
      <c r="R159" s="237"/>
      <c r="S159" s="35">
        <f t="shared" si="19"/>
        <v>2.3941084394790249</v>
      </c>
      <c r="T159" s="161">
        <v>2087</v>
      </c>
      <c r="U159" s="162">
        <f t="shared" si="21"/>
        <v>1436.4650636874148</v>
      </c>
      <c r="V159" s="162">
        <f t="shared" si="22"/>
        <v>417.6920240996298</v>
      </c>
      <c r="Y159" s="161">
        <v>2087</v>
      </c>
      <c r="Z159" s="161">
        <f t="shared" si="20"/>
        <v>117</v>
      </c>
      <c r="AA159" s="161">
        <f t="shared" si="23"/>
        <v>567.44439999999997</v>
      </c>
      <c r="AR159" s="16"/>
      <c r="AS159" s="16"/>
      <c r="AT159" s="16"/>
    </row>
    <row r="160" spans="16:46">
      <c r="P160" s="237" t="s">
        <v>292</v>
      </c>
      <c r="Q160" s="237"/>
      <c r="R160" s="237"/>
      <c r="S160" s="35">
        <f t="shared" si="19"/>
        <v>2.4134623254872016</v>
      </c>
      <c r="T160" s="161">
        <v>2088</v>
      </c>
      <c r="U160" s="162">
        <f t="shared" si="21"/>
        <v>1448.0773952923209</v>
      </c>
      <c r="V160" s="162">
        <f t="shared" si="22"/>
        <v>414.34249436569581</v>
      </c>
      <c r="Y160" s="161">
        <v>2088</v>
      </c>
      <c r="Z160" s="161">
        <f t="shared" si="20"/>
        <v>118</v>
      </c>
      <c r="AA160" s="161">
        <f t="shared" si="23"/>
        <v>572.03160000000003</v>
      </c>
      <c r="AR160" s="16"/>
      <c r="AS160" s="16"/>
      <c r="AT160" s="16"/>
    </row>
    <row r="161" spans="16:46">
      <c r="P161" s="237" t="s">
        <v>293</v>
      </c>
      <c r="Q161" s="237"/>
      <c r="R161" s="237"/>
      <c r="S161" s="35">
        <f t="shared" si="19"/>
        <v>2.432816211495378</v>
      </c>
      <c r="T161" s="161">
        <v>2089</v>
      </c>
      <c r="U161" s="162">
        <f t="shared" si="21"/>
        <v>1459.6897268972268</v>
      </c>
      <c r="V161" s="162">
        <f t="shared" si="22"/>
        <v>411.04625794372294</v>
      </c>
      <c r="Y161" s="161">
        <v>2089</v>
      </c>
      <c r="Z161" s="161">
        <f t="shared" si="20"/>
        <v>119</v>
      </c>
      <c r="AA161" s="161">
        <f t="shared" si="23"/>
        <v>576.61879999999996</v>
      </c>
      <c r="AR161" s="16"/>
      <c r="AS161" s="16"/>
      <c r="AT161" s="16"/>
    </row>
    <row r="162" spans="16:46">
      <c r="P162" s="237" t="s">
        <v>294</v>
      </c>
      <c r="Q162" s="237"/>
      <c r="R162" s="237"/>
      <c r="S162" s="35">
        <f t="shared" si="19"/>
        <v>2.4521700975035547</v>
      </c>
      <c r="T162" s="161">
        <v>2090</v>
      </c>
      <c r="U162" s="162">
        <f t="shared" si="21"/>
        <v>1471.3020585021329</v>
      </c>
      <c r="V162" s="162">
        <f t="shared" si="22"/>
        <v>407.8020529726121</v>
      </c>
      <c r="Y162" s="161">
        <v>2090</v>
      </c>
      <c r="Z162" s="161">
        <f t="shared" si="20"/>
        <v>120</v>
      </c>
      <c r="AA162" s="161">
        <f t="shared" si="23"/>
        <v>581.20600000000002</v>
      </c>
      <c r="AR162" s="16"/>
      <c r="AS162" s="16"/>
      <c r="AT162" s="16"/>
    </row>
    <row r="163" spans="16:46">
      <c r="P163" s="237" t="s">
        <v>295</v>
      </c>
      <c r="Q163" s="237"/>
      <c r="R163" s="237"/>
      <c r="S163" s="35">
        <f t="shared" si="19"/>
        <v>2.4715239835117311</v>
      </c>
      <c r="T163" s="161">
        <v>2091</v>
      </c>
      <c r="U163" s="162">
        <f t="shared" si="21"/>
        <v>1482.9143901070386</v>
      </c>
      <c r="V163" s="162">
        <f t="shared" si="22"/>
        <v>404.60865711653878</v>
      </c>
      <c r="Y163" s="161">
        <v>2091</v>
      </c>
      <c r="Z163" s="161">
        <f t="shared" si="20"/>
        <v>121</v>
      </c>
      <c r="AA163" s="161">
        <f t="shared" si="23"/>
        <v>585.79319999999996</v>
      </c>
      <c r="AR163" s="16"/>
      <c r="AS163" s="16"/>
      <c r="AT163" s="16"/>
    </row>
    <row r="164" spans="16:46">
      <c r="P164" s="237" t="s">
        <v>296</v>
      </c>
      <c r="Q164" s="237"/>
      <c r="R164" s="237"/>
      <c r="S164" s="35">
        <f t="shared" si="19"/>
        <v>2.4908778695199079</v>
      </c>
      <c r="T164" s="161">
        <v>2092</v>
      </c>
      <c r="U164" s="162">
        <f t="shared" si="21"/>
        <v>1494.5267217119447</v>
      </c>
      <c r="V164" s="162">
        <f t="shared" si="22"/>
        <v>401.46488602941423</v>
      </c>
      <c r="Y164" s="161">
        <v>2092</v>
      </c>
      <c r="Z164" s="161">
        <f t="shared" si="20"/>
        <v>122</v>
      </c>
      <c r="AA164" s="161">
        <f t="shared" si="23"/>
        <v>590.38040000000001</v>
      </c>
      <c r="AR164" s="16"/>
      <c r="AS164" s="16"/>
      <c r="AT164" s="16"/>
    </row>
    <row r="165" spans="16:46">
      <c r="P165" s="237" t="s">
        <v>297</v>
      </c>
      <c r="Q165" s="237"/>
      <c r="R165" s="237"/>
      <c r="S165" s="35">
        <f t="shared" si="19"/>
        <v>2.5102317555280842</v>
      </c>
      <c r="T165" s="161">
        <v>2093</v>
      </c>
      <c r="U165" s="162">
        <f t="shared" si="21"/>
        <v>1506.1390533168505</v>
      </c>
      <c r="V165" s="162">
        <f t="shared" si="22"/>
        <v>398.36959189038197</v>
      </c>
      <c r="Y165" s="161">
        <v>2093</v>
      </c>
      <c r="Z165" s="161">
        <f t="shared" si="20"/>
        <v>123</v>
      </c>
      <c r="AA165" s="161">
        <f t="shared" si="23"/>
        <v>594.96759999999995</v>
      </c>
      <c r="AR165" s="16"/>
      <c r="AS165" s="16"/>
      <c r="AT165" s="16"/>
    </row>
    <row r="166" spans="16:46">
      <c r="P166" s="237" t="s">
        <v>298</v>
      </c>
      <c r="Q166" s="237"/>
      <c r="R166" s="237"/>
      <c r="S166" s="35">
        <f t="shared" si="19"/>
        <v>2.529585641536261</v>
      </c>
      <c r="T166" s="161">
        <v>2094</v>
      </c>
      <c r="U166" s="162">
        <f t="shared" si="21"/>
        <v>1517.7513849217567</v>
      </c>
      <c r="V166" s="162">
        <f t="shared" si="22"/>
        <v>395.32166200654223</v>
      </c>
      <c r="Y166" s="161">
        <v>2094</v>
      </c>
      <c r="Z166" s="161">
        <f t="shared" si="20"/>
        <v>124</v>
      </c>
      <c r="AA166" s="161">
        <f t="shared" si="23"/>
        <v>599.5548</v>
      </c>
      <c r="AR166" s="16"/>
      <c r="AS166" s="16"/>
      <c r="AT166" s="16"/>
    </row>
    <row r="167" spans="16:46">
      <c r="P167" s="237" t="s">
        <v>299</v>
      </c>
      <c r="Q167" s="237"/>
      <c r="R167" s="237"/>
      <c r="S167" s="35">
        <f t="shared" si="19"/>
        <v>2.5489395275444373</v>
      </c>
      <c r="T167" s="161">
        <v>2095</v>
      </c>
      <c r="U167" s="162">
        <f t="shared" si="21"/>
        <v>1529.3637165266623</v>
      </c>
      <c r="V167" s="162">
        <f t="shared" si="22"/>
        <v>392.32001747933441</v>
      </c>
      <c r="Y167" s="161">
        <v>2095</v>
      </c>
      <c r="Z167" s="161">
        <f t="shared" si="20"/>
        <v>125</v>
      </c>
      <c r="AA167" s="161">
        <f t="shared" si="23"/>
        <v>604.14199999999994</v>
      </c>
      <c r="AR167" s="16"/>
      <c r="AS167" s="16"/>
      <c r="AT167" s="16"/>
    </row>
    <row r="168" spans="16:46">
      <c r="P168" s="237" t="s">
        <v>300</v>
      </c>
      <c r="Q168" s="237"/>
      <c r="R168" s="237"/>
      <c r="S168" s="35">
        <f t="shared" si="19"/>
        <v>2.5682934135526145</v>
      </c>
      <c r="T168" s="161">
        <v>2096</v>
      </c>
      <c r="U168" s="162">
        <f t="shared" si="21"/>
        <v>1540.9760481315686</v>
      </c>
      <c r="V168" s="162">
        <f t="shared" si="22"/>
        <v>389.36361193121667</v>
      </c>
      <c r="Y168" s="161">
        <v>2096</v>
      </c>
      <c r="Z168" s="161">
        <f t="shared" si="20"/>
        <v>126</v>
      </c>
      <c r="AA168" s="161">
        <f t="shared" si="23"/>
        <v>608.72919999999999</v>
      </c>
      <c r="AR168" s="16"/>
      <c r="AS168" s="16"/>
      <c r="AT168" s="16"/>
    </row>
    <row r="169" spans="16:46">
      <c r="P169" s="237" t="s">
        <v>301</v>
      </c>
      <c r="Q169" s="237"/>
      <c r="R169" s="237"/>
      <c r="S169" s="35">
        <f t="shared" si="19"/>
        <v>2.5876472995607909</v>
      </c>
      <c r="T169" s="161">
        <v>2097</v>
      </c>
      <c r="U169" s="162">
        <f t="shared" si="21"/>
        <v>1552.5883797364745</v>
      </c>
      <c r="V169" s="162">
        <f t="shared" si="22"/>
        <v>386.45143028948843</v>
      </c>
      <c r="Y169" s="161">
        <v>2097</v>
      </c>
      <c r="Z169" s="161">
        <f t="shared" si="20"/>
        <v>127</v>
      </c>
      <c r="AA169" s="161">
        <f t="shared" si="23"/>
        <v>613.31639999999993</v>
      </c>
      <c r="AR169" s="16"/>
      <c r="AS169" s="16"/>
      <c r="AT169" s="16"/>
    </row>
    <row r="170" spans="16:46">
      <c r="P170" s="237" t="s">
        <v>302</v>
      </c>
      <c r="Q170" s="237"/>
      <c r="R170" s="237"/>
      <c r="S170" s="35">
        <f t="shared" si="19"/>
        <v>2.6070011855689676</v>
      </c>
      <c r="T170" s="161">
        <v>2098</v>
      </c>
      <c r="U170" s="162">
        <f t="shared" si="21"/>
        <v>1564.2007113413806</v>
      </c>
      <c r="V170" s="162">
        <f t="shared" si="22"/>
        <v>383.58248762428315</v>
      </c>
      <c r="Y170" s="161">
        <v>2098</v>
      </c>
      <c r="Z170" s="161">
        <f t="shared" si="20"/>
        <v>128</v>
      </c>
      <c r="AA170" s="161">
        <f t="shared" si="23"/>
        <v>617.90359999999998</v>
      </c>
      <c r="AR170" s="16"/>
      <c r="AS170" s="16"/>
      <c r="AT170" s="16"/>
    </row>
    <row r="171" spans="16:46">
      <c r="P171" s="237" t="s">
        <v>303</v>
      </c>
      <c r="Q171" s="237"/>
      <c r="R171" s="237"/>
      <c r="S171" s="35">
        <f t="shared" ref="S171:S175" si="24">AA171/$N$104</f>
        <v>2.6263550715771444</v>
      </c>
      <c r="T171" s="161">
        <v>2099</v>
      </c>
      <c r="U171" s="162">
        <f t="shared" si="21"/>
        <v>1575.8130429462867</v>
      </c>
      <c r="V171" s="162">
        <f t="shared" si="22"/>
        <v>380.75582803794043</v>
      </c>
      <c r="Y171" s="161">
        <v>2099</v>
      </c>
      <c r="Z171" s="161">
        <f t="shared" si="20"/>
        <v>129</v>
      </c>
      <c r="AA171" s="161">
        <f t="shared" si="23"/>
        <v>622.49080000000004</v>
      </c>
      <c r="AR171" s="16"/>
      <c r="AS171" s="16"/>
      <c r="AT171" s="16"/>
    </row>
    <row r="172" spans="16:46">
      <c r="P172" s="237" t="s">
        <v>304</v>
      </c>
      <c r="Q172" s="237"/>
      <c r="R172" s="237"/>
      <c r="S172" s="35">
        <f t="shared" si="24"/>
        <v>2.6457089575853208</v>
      </c>
      <c r="T172" s="161">
        <v>2100</v>
      </c>
      <c r="U172" s="162">
        <f t="shared" si="21"/>
        <v>1587.4253745511924</v>
      </c>
      <c r="V172" s="162">
        <f t="shared" si="22"/>
        <v>377.97052360312438</v>
      </c>
      <c r="Y172" s="161">
        <v>2100</v>
      </c>
      <c r="Z172" s="161">
        <f t="shared" si="20"/>
        <v>130</v>
      </c>
      <c r="AA172" s="161">
        <f t="shared" si="23"/>
        <v>627.07799999999997</v>
      </c>
      <c r="AR172" s="16"/>
      <c r="AS172" s="16"/>
      <c r="AT172" s="16"/>
    </row>
    <row r="173" spans="16:46">
      <c r="P173" s="237" t="s">
        <v>305</v>
      </c>
      <c r="Q173" s="237"/>
      <c r="R173" s="237"/>
      <c r="S173" s="35">
        <f t="shared" si="24"/>
        <v>2.6650628435934975</v>
      </c>
      <c r="T173" s="161">
        <v>2101</v>
      </c>
      <c r="U173" s="162">
        <f t="shared" si="21"/>
        <v>1599.0377061560985</v>
      </c>
      <c r="V173" s="162">
        <f t="shared" si="22"/>
        <v>375.22567334720986</v>
      </c>
      <c r="Y173" s="161">
        <v>2101</v>
      </c>
      <c r="Z173" s="161">
        <f t="shared" si="20"/>
        <v>131</v>
      </c>
      <c r="AA173" s="161">
        <f t="shared" si="23"/>
        <v>631.66520000000003</v>
      </c>
      <c r="AR173" s="16"/>
      <c r="AS173" s="16"/>
      <c r="AT173" s="16"/>
    </row>
    <row r="174" spans="16:46">
      <c r="P174" s="237" t="s">
        <v>306</v>
      </c>
      <c r="Q174" s="237"/>
      <c r="R174" s="237"/>
      <c r="S174" s="35">
        <f t="shared" si="24"/>
        <v>2.6844167296016739</v>
      </c>
      <c r="T174" s="161">
        <v>2102</v>
      </c>
      <c r="U174" s="162">
        <f t="shared" si="21"/>
        <v>1610.6500377610043</v>
      </c>
      <c r="V174" s="162">
        <f t="shared" si="22"/>
        <v>372.5204022806044</v>
      </c>
      <c r="Y174" s="161">
        <v>2102</v>
      </c>
      <c r="Z174" s="161">
        <f t="shared" si="20"/>
        <v>132</v>
      </c>
      <c r="AA174" s="161">
        <f t="shared" si="23"/>
        <v>636.25239999999997</v>
      </c>
      <c r="AR174" s="16"/>
      <c r="AS174" s="16"/>
      <c r="AT174" s="16"/>
    </row>
    <row r="175" spans="16:46">
      <c r="P175" s="237" t="s">
        <v>307</v>
      </c>
      <c r="Q175" s="237"/>
      <c r="R175" s="237"/>
      <c r="S175" s="35">
        <f t="shared" si="24"/>
        <v>2.7037706156098511</v>
      </c>
      <c r="T175" s="161">
        <v>2103</v>
      </c>
      <c r="U175" s="162">
        <f t="shared" si="21"/>
        <v>1622.2623693659107</v>
      </c>
      <c r="V175" s="162">
        <f t="shared" si="22"/>
        <v>369.85386046680009</v>
      </c>
      <c r="Y175" s="161">
        <v>2103</v>
      </c>
      <c r="Z175" s="161">
        <f t="shared" si="20"/>
        <v>133</v>
      </c>
      <c r="AA175" s="161">
        <f t="shared" si="23"/>
        <v>640.83960000000002</v>
      </c>
      <c r="AR175" s="16"/>
      <c r="AS175" s="16"/>
      <c r="AT175" s="16"/>
    </row>
    <row r="176" spans="16:46">
      <c r="T176" s="161">
        <v>2104</v>
      </c>
      <c r="U176" s="161"/>
      <c r="V176" s="161"/>
      <c r="Y176" s="161">
        <v>2104</v>
      </c>
      <c r="Z176" s="161">
        <f t="shared" si="20"/>
        <v>134</v>
      </c>
      <c r="AA176" s="161">
        <f t="shared" si="23"/>
        <v>645.42679999999996</v>
      </c>
      <c r="AR176" s="16"/>
      <c r="AS176" s="16"/>
      <c r="AT176" s="16"/>
    </row>
    <row r="177" spans="20:46">
      <c r="T177" s="161">
        <v>2105</v>
      </c>
      <c r="U177" s="161"/>
      <c r="V177" s="161"/>
      <c r="Y177" s="161">
        <v>2105</v>
      </c>
      <c r="Z177" s="161">
        <f t="shared" si="20"/>
        <v>135</v>
      </c>
      <c r="AA177" s="161">
        <f t="shared" si="23"/>
        <v>650.01400000000001</v>
      </c>
      <c r="AR177" s="16"/>
      <c r="AS177" s="16"/>
      <c r="AT177" s="16"/>
    </row>
    <row r="178" spans="20:46">
      <c r="T178" s="161">
        <v>2106</v>
      </c>
      <c r="U178" s="161"/>
      <c r="V178" s="161"/>
      <c r="Y178" s="161">
        <v>2106</v>
      </c>
      <c r="Z178" s="161">
        <f t="shared" si="20"/>
        <v>136</v>
      </c>
      <c r="AA178" s="161">
        <f t="shared" si="23"/>
        <v>654.60119999999995</v>
      </c>
      <c r="AR178" s="16"/>
      <c r="AS178" s="16"/>
      <c r="AT178" s="16"/>
    </row>
    <row r="179" spans="20:46">
      <c r="T179" s="161">
        <v>2107</v>
      </c>
      <c r="U179" s="161"/>
      <c r="V179" s="161"/>
      <c r="Y179" s="161">
        <v>2107</v>
      </c>
      <c r="Z179" s="161">
        <f t="shared" si="20"/>
        <v>137</v>
      </c>
      <c r="AA179" s="161">
        <f t="shared" si="23"/>
        <v>659.1884</v>
      </c>
      <c r="AR179" s="16"/>
      <c r="AS179" s="16"/>
      <c r="AT179" s="16"/>
    </row>
    <row r="180" spans="20:46">
      <c r="T180" s="161">
        <v>2108</v>
      </c>
      <c r="U180" s="161"/>
      <c r="V180" s="161"/>
      <c r="Y180" s="161">
        <v>2108</v>
      </c>
      <c r="Z180" s="161">
        <f t="shared" si="20"/>
        <v>138</v>
      </c>
      <c r="AA180" s="161">
        <f t="shared" si="23"/>
        <v>663.77559999999994</v>
      </c>
      <c r="AR180" s="16"/>
      <c r="AS180" s="16"/>
      <c r="AT180" s="16"/>
    </row>
    <row r="181" spans="20:46">
      <c r="T181" s="161">
        <v>2109</v>
      </c>
      <c r="U181" s="161"/>
      <c r="V181" s="161"/>
      <c r="Y181" s="161">
        <v>2109</v>
      </c>
      <c r="Z181" s="161">
        <f t="shared" si="20"/>
        <v>139</v>
      </c>
      <c r="AA181" s="161">
        <f t="shared" si="23"/>
        <v>668.36279999999999</v>
      </c>
      <c r="AR181" s="16"/>
      <c r="AS181" s="16"/>
      <c r="AT181" s="16"/>
    </row>
    <row r="182" spans="20:46">
      <c r="T182" s="161">
        <v>2110</v>
      </c>
      <c r="U182" s="161"/>
      <c r="V182" s="161"/>
      <c r="Y182" s="161">
        <v>2110</v>
      </c>
      <c r="Z182" s="161">
        <f t="shared" si="20"/>
        <v>140</v>
      </c>
      <c r="AA182" s="161">
        <f t="shared" si="23"/>
        <v>672.94999999999993</v>
      </c>
      <c r="AR182" s="16"/>
      <c r="AS182" s="16"/>
      <c r="AT182" s="16"/>
    </row>
    <row r="183" spans="20:46">
      <c r="T183" s="161">
        <v>2111</v>
      </c>
      <c r="U183" s="161"/>
      <c r="V183" s="161"/>
      <c r="Y183" s="161">
        <v>2111</v>
      </c>
      <c r="Z183" s="161">
        <f t="shared" ref="Z183:Z187" si="25">Y183-1970</f>
        <v>141</v>
      </c>
      <c r="AA183" s="161">
        <f t="shared" si="23"/>
        <v>677.53719999999998</v>
      </c>
      <c r="AR183" s="16"/>
      <c r="AS183" s="16"/>
      <c r="AT183" s="16"/>
    </row>
    <row r="184" spans="20:46">
      <c r="T184" s="161">
        <v>2112</v>
      </c>
      <c r="U184" s="161"/>
      <c r="V184" s="161"/>
      <c r="Y184" s="161">
        <v>2112</v>
      </c>
      <c r="Z184" s="161">
        <f t="shared" si="25"/>
        <v>142</v>
      </c>
      <c r="AA184" s="161">
        <f t="shared" si="23"/>
        <v>682.12440000000004</v>
      </c>
      <c r="AR184" s="16"/>
      <c r="AS184" s="16"/>
    </row>
    <row r="185" spans="20:46">
      <c r="T185" s="161">
        <v>2113</v>
      </c>
      <c r="U185" s="161"/>
      <c r="V185" s="161"/>
      <c r="Y185" s="161">
        <v>2113</v>
      </c>
      <c r="Z185" s="161">
        <f t="shared" si="25"/>
        <v>143</v>
      </c>
      <c r="AA185" s="161">
        <f t="shared" si="23"/>
        <v>686.71159999999998</v>
      </c>
      <c r="AR185" s="16"/>
      <c r="AS185" s="16"/>
    </row>
    <row r="186" spans="20:46">
      <c r="T186" s="161">
        <v>2114</v>
      </c>
      <c r="U186" s="161"/>
      <c r="V186" s="161"/>
      <c r="Y186" s="161">
        <v>2114</v>
      </c>
      <c r="Z186" s="161">
        <f t="shared" si="25"/>
        <v>144</v>
      </c>
      <c r="AA186" s="161">
        <f t="shared" ref="AA186:AA187" si="26">(4.5872*Z186)+30.742</f>
        <v>691.29880000000003</v>
      </c>
      <c r="AR186" s="16"/>
      <c r="AS186" s="16"/>
    </row>
    <row r="187" spans="20:46">
      <c r="T187" s="161">
        <v>2115</v>
      </c>
      <c r="U187" s="161"/>
      <c r="V187" s="161"/>
      <c r="Y187" s="161">
        <v>2115</v>
      </c>
      <c r="Z187" s="161">
        <f t="shared" si="25"/>
        <v>145</v>
      </c>
      <c r="AA187" s="161">
        <f t="shared" si="26"/>
        <v>695.88599999999997</v>
      </c>
      <c r="AR187" s="16"/>
      <c r="AS187" s="16"/>
    </row>
  </sheetData>
  <mergeCells count="91">
    <mergeCell ref="Z86:AA86"/>
    <mergeCell ref="P103:R103"/>
    <mergeCell ref="P97:R97"/>
    <mergeCell ref="P98:R98"/>
    <mergeCell ref="P100:R100"/>
    <mergeCell ref="P101:R101"/>
    <mergeCell ref="P84:R84"/>
    <mergeCell ref="P93:R93"/>
    <mergeCell ref="P102:R102"/>
    <mergeCell ref="P91:R91"/>
    <mergeCell ref="P92:R92"/>
    <mergeCell ref="P94:R94"/>
    <mergeCell ref="P95:R95"/>
    <mergeCell ref="P96:R96"/>
    <mergeCell ref="P99:R99"/>
    <mergeCell ref="P87:R87"/>
    <mergeCell ref="P88:R88"/>
    <mergeCell ref="P89:R89"/>
    <mergeCell ref="P90:R90"/>
    <mergeCell ref="P104:R104"/>
    <mergeCell ref="P105:R105"/>
    <mergeCell ref="P106:R106"/>
    <mergeCell ref="P107:R107"/>
    <mergeCell ref="P108:R108"/>
    <mergeCell ref="P109:R109"/>
    <mergeCell ref="P110:R110"/>
    <mergeCell ref="P111:R111"/>
    <mergeCell ref="P112:R112"/>
    <mergeCell ref="P113:R113"/>
    <mergeCell ref="P114:R114"/>
    <mergeCell ref="P115:R115"/>
    <mergeCell ref="P116:R116"/>
    <mergeCell ref="P117:R117"/>
    <mergeCell ref="P118:R118"/>
    <mergeCell ref="P119:R119"/>
    <mergeCell ref="P120:R120"/>
    <mergeCell ref="P121:R121"/>
    <mergeCell ref="P122:R122"/>
    <mergeCell ref="P123:R123"/>
    <mergeCell ref="P124:R124"/>
    <mergeCell ref="P125:R125"/>
    <mergeCell ref="P126:R126"/>
    <mergeCell ref="P127:R127"/>
    <mergeCell ref="P128:R128"/>
    <mergeCell ref="P129:R129"/>
    <mergeCell ref="P130:R130"/>
    <mergeCell ref="P131:R131"/>
    <mergeCell ref="P132:R132"/>
    <mergeCell ref="P133:R133"/>
    <mergeCell ref="P134:R134"/>
    <mergeCell ref="P135:R135"/>
    <mergeCell ref="P136:R136"/>
    <mergeCell ref="P137:R137"/>
    <mergeCell ref="P138:R138"/>
    <mergeCell ref="P139:R139"/>
    <mergeCell ref="P140:R140"/>
    <mergeCell ref="P141:R141"/>
    <mergeCell ref="P142:R142"/>
    <mergeCell ref="P143:R143"/>
    <mergeCell ref="P144:R144"/>
    <mergeCell ref="P145:R145"/>
    <mergeCell ref="P146:R146"/>
    <mergeCell ref="P147:R147"/>
    <mergeCell ref="P148:R148"/>
    <mergeCell ref="P149:R149"/>
    <mergeCell ref="P150:R150"/>
    <mergeCell ref="P151:R151"/>
    <mergeCell ref="P152:R152"/>
    <mergeCell ref="P153:R153"/>
    <mergeCell ref="P154:R154"/>
    <mergeCell ref="P155:R155"/>
    <mergeCell ref="P156:R156"/>
    <mergeCell ref="P157:R157"/>
    <mergeCell ref="P158:R158"/>
    <mergeCell ref="P159:R159"/>
    <mergeCell ref="P160:R160"/>
    <mergeCell ref="P161:R161"/>
    <mergeCell ref="P162:R162"/>
    <mergeCell ref="P163:R163"/>
    <mergeCell ref="P164:R164"/>
    <mergeCell ref="P165:R165"/>
    <mergeCell ref="P166:R166"/>
    <mergeCell ref="P167:R167"/>
    <mergeCell ref="P168:R168"/>
    <mergeCell ref="P174:R174"/>
    <mergeCell ref="P175:R175"/>
    <mergeCell ref="P169:R169"/>
    <mergeCell ref="P170:R170"/>
    <mergeCell ref="P171:R171"/>
    <mergeCell ref="P172:R172"/>
    <mergeCell ref="P173:R17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workbookViewId="0">
      <selection activeCell="K9" sqref="K9"/>
    </sheetView>
  </sheetViews>
  <sheetFormatPr defaultColWidth="9.140625" defaultRowHeight="15"/>
  <cols>
    <col min="1" max="1" width="19.140625" style="45" customWidth="1"/>
    <col min="2" max="2" width="18" style="2" bestFit="1" customWidth="1"/>
    <col min="3" max="3" width="18.140625" style="2" bestFit="1" customWidth="1"/>
    <col min="4" max="4" width="44.140625" style="2" customWidth="1"/>
    <col min="5" max="6" width="9.140625" style="45"/>
    <col min="7" max="7" width="21.85546875" style="45" customWidth="1"/>
    <col min="8" max="8" width="19.85546875" style="45" customWidth="1"/>
    <col min="9" max="9" width="25.7109375" style="2" customWidth="1"/>
    <col min="10" max="10" width="15.5703125" style="45" customWidth="1"/>
    <col min="11" max="11" width="15.7109375" style="45" bestFit="1" customWidth="1"/>
    <col min="12" max="12" width="35.42578125" style="45" customWidth="1"/>
    <col min="13" max="16384" width="9.140625" style="45"/>
  </cols>
  <sheetData>
    <row r="1" spans="1:12">
      <c r="A1" s="237" t="s">
        <v>207</v>
      </c>
      <c r="B1" s="237"/>
      <c r="C1" s="237"/>
      <c r="D1" s="237"/>
      <c r="K1" s="237" t="s">
        <v>195</v>
      </c>
      <c r="L1" s="237"/>
    </row>
    <row r="2" spans="1:12">
      <c r="A2" s="45" t="s">
        <v>6</v>
      </c>
      <c r="B2" s="2" t="s">
        <v>96</v>
      </c>
      <c r="C2" s="2" t="s">
        <v>108</v>
      </c>
      <c r="D2" s="2" t="s">
        <v>193</v>
      </c>
      <c r="F2" s="45" t="s">
        <v>6</v>
      </c>
      <c r="G2" s="45" t="s">
        <v>196</v>
      </c>
      <c r="H2" s="45" t="s">
        <v>111</v>
      </c>
      <c r="I2" s="2" t="s">
        <v>112</v>
      </c>
      <c r="K2" s="66">
        <v>0.04</v>
      </c>
      <c r="L2" s="45" t="s">
        <v>132</v>
      </c>
    </row>
    <row r="3" spans="1:12">
      <c r="A3" s="45">
        <v>2022</v>
      </c>
      <c r="B3" s="2">
        <f>LineOfCredit!B9+'ProForma View 80CL'!F8+'ProForma View 80CL'!G8-('ProForma View 80CL'!F18+'ProForma View 80CL'!F19+'ProForma View 80CL'!G18+'ProForma View 80CL'!G19)</f>
        <v>2561637876.4060659</v>
      </c>
      <c r="C3" s="2">
        <f>H3</f>
        <v>102465515.05624264</v>
      </c>
      <c r="D3" s="256" t="s">
        <v>194</v>
      </c>
      <c r="F3" s="45">
        <v>2022</v>
      </c>
      <c r="G3" s="2">
        <f>B3</f>
        <v>2561637876.4060659</v>
      </c>
      <c r="H3" s="2">
        <f>I3</f>
        <v>102465515.05624264</v>
      </c>
      <c r="I3" s="2">
        <f>G3*$K$2</f>
        <v>102465515.05624264</v>
      </c>
      <c r="K3" s="45">
        <v>2</v>
      </c>
      <c r="L3" s="45" t="s">
        <v>133</v>
      </c>
    </row>
    <row r="4" spans="1:12">
      <c r="A4" s="48">
        <v>2023</v>
      </c>
      <c r="B4" s="49"/>
      <c r="C4" s="49"/>
      <c r="D4" s="256"/>
      <c r="F4" s="45">
        <v>2023</v>
      </c>
      <c r="G4" s="2">
        <f>G3-(H3-I3)</f>
        <v>2561637876.4060659</v>
      </c>
      <c r="H4" s="2">
        <f t="shared" ref="H4:H11" si="0">I4</f>
        <v>102465515.05624264</v>
      </c>
      <c r="I4" s="2">
        <f>G4*$K$2</f>
        <v>102465515.05624264</v>
      </c>
      <c r="K4" s="45">
        <v>30</v>
      </c>
      <c r="L4" s="45" t="s">
        <v>134</v>
      </c>
    </row>
    <row r="5" spans="1:12">
      <c r="A5" s="52">
        <v>2024</v>
      </c>
      <c r="B5" s="53"/>
      <c r="C5" s="53"/>
      <c r="D5" s="257"/>
      <c r="F5" s="45">
        <v>2024</v>
      </c>
      <c r="G5" s="2">
        <f t="shared" ref="G5:G12" si="1">G4-(H4-I4)</f>
        <v>2561637876.4060659</v>
      </c>
      <c r="H5" s="2">
        <f t="shared" si="0"/>
        <v>102465515.05624264</v>
      </c>
      <c r="I5" s="2">
        <f t="shared" ref="I5:I11" si="2">G5*$K$2</f>
        <v>102465515.05624264</v>
      </c>
      <c r="K5" s="2">
        <f>B3</f>
        <v>2561637876.4060659</v>
      </c>
      <c r="L5" s="45" t="s">
        <v>136</v>
      </c>
    </row>
    <row r="6" spans="1:12">
      <c r="A6" s="48">
        <v>2025</v>
      </c>
      <c r="B6" s="49">
        <f>'ProForma View 80CL'!H8+'ProForma View 80CL'!I8+'ProForma View 80CL'!J8-('ProForma View 80CL'!H18+'ProForma View 80CL'!H19+'ProForma View 80CL'!I18+'ProForma View 80CL'!I19+'ProForma View 80CL'!J18+'ProForma View 80CL'!J19)</f>
        <v>2170466519.0107203</v>
      </c>
      <c r="C6" s="49">
        <f>H15</f>
        <v>86818660.760428816</v>
      </c>
      <c r="D6" s="258" t="s">
        <v>197</v>
      </c>
      <c r="F6" s="45">
        <v>2025</v>
      </c>
      <c r="G6" s="2">
        <f t="shared" si="1"/>
        <v>2561637876.4060659</v>
      </c>
      <c r="H6" s="2">
        <f t="shared" si="0"/>
        <v>102465515.05624264</v>
      </c>
      <c r="I6" s="2">
        <f t="shared" si="2"/>
        <v>102465515.05624264</v>
      </c>
      <c r="K6" s="20">
        <f>((((1+K2)^(1/K3)-1)/(1-(1+((1+K2)^(1/K3)-1))^-(K4*K3)))*K5)*K3</f>
        <v>146687282.00566009</v>
      </c>
      <c r="L6" s="45" t="s">
        <v>135</v>
      </c>
    </row>
    <row r="7" spans="1:12">
      <c r="A7" s="50">
        <v>2026</v>
      </c>
      <c r="B7" s="51"/>
      <c r="C7" s="51"/>
      <c r="D7" s="259"/>
      <c r="F7" s="45">
        <v>2026</v>
      </c>
      <c r="G7" s="2">
        <f t="shared" si="1"/>
        <v>2561637876.4060659</v>
      </c>
      <c r="H7" s="2">
        <f t="shared" si="0"/>
        <v>102465515.05624264</v>
      </c>
      <c r="I7" s="2">
        <f t="shared" si="2"/>
        <v>102465515.05624264</v>
      </c>
    </row>
    <row r="8" spans="1:12">
      <c r="A8" s="52">
        <v>2027</v>
      </c>
      <c r="B8" s="53"/>
      <c r="C8" s="53"/>
      <c r="D8" s="257"/>
      <c r="F8" s="45">
        <v>2027</v>
      </c>
      <c r="G8" s="2">
        <f t="shared" si="1"/>
        <v>2561637876.4060659</v>
      </c>
      <c r="H8" s="2">
        <f t="shared" si="0"/>
        <v>102465515.05624264</v>
      </c>
      <c r="I8" s="2">
        <f t="shared" si="2"/>
        <v>102465515.05624264</v>
      </c>
    </row>
    <row r="9" spans="1:12">
      <c r="A9" s="48">
        <v>2028</v>
      </c>
      <c r="B9" s="49">
        <f>'ProForma View 80CL'!K8+'ProForma View 80CL'!L8-('ProForma View 80CL'!K18+'ProForma View 80CL'!L18)</f>
        <v>719394298.5037607</v>
      </c>
      <c r="C9" s="49">
        <f>H26</f>
        <v>28775771.940150429</v>
      </c>
      <c r="D9" s="112"/>
      <c r="F9" s="45">
        <v>2028</v>
      </c>
      <c r="G9" s="2">
        <f t="shared" si="1"/>
        <v>2561637876.4060659</v>
      </c>
      <c r="H9" s="2">
        <f t="shared" si="0"/>
        <v>102465515.05624264</v>
      </c>
      <c r="I9" s="2">
        <f t="shared" si="2"/>
        <v>102465515.05624264</v>
      </c>
    </row>
    <row r="10" spans="1:12">
      <c r="A10" s="50">
        <v>2029</v>
      </c>
      <c r="B10" s="51"/>
      <c r="C10" s="51"/>
      <c r="D10" s="114"/>
      <c r="F10" s="45">
        <v>2029</v>
      </c>
      <c r="G10" s="2">
        <f t="shared" si="1"/>
        <v>2561637876.4060659</v>
      </c>
      <c r="H10" s="2">
        <f t="shared" si="0"/>
        <v>102465515.05624264</v>
      </c>
      <c r="I10" s="2">
        <f t="shared" si="2"/>
        <v>102465515.05624264</v>
      </c>
    </row>
    <row r="11" spans="1:12" ht="15" customHeight="1">
      <c r="A11" s="52">
        <v>2030</v>
      </c>
      <c r="B11" s="53"/>
      <c r="C11" s="53"/>
      <c r="D11" s="113"/>
      <c r="F11" s="45">
        <v>2030</v>
      </c>
      <c r="G11" s="2">
        <f t="shared" si="1"/>
        <v>2561637876.4060659</v>
      </c>
      <c r="H11" s="2">
        <f t="shared" si="0"/>
        <v>102465515.05624264</v>
      </c>
      <c r="I11" s="2">
        <f t="shared" si="2"/>
        <v>102465515.05624264</v>
      </c>
      <c r="K11" s="237" t="s">
        <v>137</v>
      </c>
      <c r="L11" s="237"/>
    </row>
    <row r="12" spans="1:12">
      <c r="F12" s="45">
        <v>2031</v>
      </c>
      <c r="G12" s="2">
        <f t="shared" si="1"/>
        <v>2561637876.4060659</v>
      </c>
      <c r="K12" s="66">
        <v>0.04</v>
      </c>
      <c r="L12" s="55" t="s">
        <v>132</v>
      </c>
    </row>
    <row r="13" spans="1:12">
      <c r="K13" s="55">
        <v>2</v>
      </c>
      <c r="L13" s="55" t="s">
        <v>133</v>
      </c>
    </row>
    <row r="14" spans="1:12">
      <c r="A14" s="45" t="s">
        <v>98</v>
      </c>
      <c r="B14" s="2">
        <f>SUM(B3:B11)</f>
        <v>5451498693.9205465</v>
      </c>
      <c r="C14" s="2">
        <f>(C3*9)+(C4*8)+(C6*6)+(C9*3)</f>
        <v>1529428915.8892081</v>
      </c>
      <c r="F14" s="45" t="s">
        <v>6</v>
      </c>
      <c r="G14" s="45" t="s">
        <v>197</v>
      </c>
      <c r="H14" s="45" t="s">
        <v>111</v>
      </c>
      <c r="I14" s="2" t="s">
        <v>112</v>
      </c>
      <c r="K14" s="55">
        <v>30</v>
      </c>
      <c r="L14" s="55" t="s">
        <v>134</v>
      </c>
    </row>
    <row r="15" spans="1:12">
      <c r="F15" s="45">
        <v>2025</v>
      </c>
      <c r="G15" s="2">
        <f>K15</f>
        <v>2170466519.0107203</v>
      </c>
      <c r="H15" s="2">
        <f>I15</f>
        <v>86818660.760428816</v>
      </c>
      <c r="I15" s="2">
        <f>G15*$K$12</f>
        <v>86818660.760428816</v>
      </c>
      <c r="K15" s="2">
        <f>B6</f>
        <v>2170466519.0107203</v>
      </c>
      <c r="L15" s="55" t="s">
        <v>136</v>
      </c>
    </row>
    <row r="16" spans="1:12">
      <c r="F16" s="45">
        <v>2026</v>
      </c>
      <c r="G16" s="2">
        <f t="shared" ref="G16:G18" si="3">G15-(H15-I15)</f>
        <v>2170466519.0107203</v>
      </c>
      <c r="H16" s="2">
        <f t="shared" ref="H16:H20" si="4">I16</f>
        <v>86818660.760428816</v>
      </c>
      <c r="I16" s="2">
        <f t="shared" ref="I16:I20" si="5">G16*$K$12</f>
        <v>86818660.760428816</v>
      </c>
      <c r="K16" s="20">
        <f>((((1+K12)^(1/K13)-1)/(1-(1+((1+K12)^(1/K13)-1))^-(K14*K13)))*K15)*K13</f>
        <v>124287604.14983025</v>
      </c>
      <c r="L16" s="55" t="s">
        <v>135</v>
      </c>
    </row>
    <row r="17" spans="1:12">
      <c r="F17" s="45">
        <v>2027</v>
      </c>
      <c r="G17" s="2">
        <f t="shared" si="3"/>
        <v>2170466519.0107203</v>
      </c>
      <c r="H17" s="2">
        <f t="shared" si="4"/>
        <v>86818660.760428816</v>
      </c>
      <c r="I17" s="2">
        <f t="shared" si="5"/>
        <v>86818660.760428816</v>
      </c>
    </row>
    <row r="18" spans="1:12">
      <c r="F18" s="45">
        <v>2028</v>
      </c>
      <c r="G18" s="2">
        <f t="shared" si="3"/>
        <v>2170466519.0107203</v>
      </c>
      <c r="H18" s="2">
        <f t="shared" si="4"/>
        <v>86818660.760428816</v>
      </c>
      <c r="I18" s="2">
        <f t="shared" si="5"/>
        <v>86818660.760428816</v>
      </c>
    </row>
    <row r="19" spans="1:12">
      <c r="F19" s="45">
        <v>2029</v>
      </c>
      <c r="G19" s="2">
        <f>G18-(H18-I18)</f>
        <v>2170466519.0107203</v>
      </c>
      <c r="H19" s="2">
        <f t="shared" si="4"/>
        <v>86818660.760428816</v>
      </c>
      <c r="I19" s="2">
        <f t="shared" si="5"/>
        <v>86818660.760428816</v>
      </c>
    </row>
    <row r="20" spans="1:12">
      <c r="A20" s="237" t="s">
        <v>230</v>
      </c>
      <c r="B20" s="237"/>
      <c r="C20" s="237"/>
      <c r="D20" s="237"/>
      <c r="F20" s="45">
        <v>2030</v>
      </c>
      <c r="G20" s="2">
        <f>G19-(H19-I19)</f>
        <v>2170466519.0107203</v>
      </c>
      <c r="H20" s="2">
        <f t="shared" si="4"/>
        <v>86818660.760428816</v>
      </c>
      <c r="I20" s="2">
        <f t="shared" si="5"/>
        <v>86818660.760428816</v>
      </c>
    </row>
    <row r="21" spans="1:12" s="55" customFormat="1">
      <c r="B21" s="55" t="s">
        <v>96</v>
      </c>
      <c r="C21" s="55" t="s">
        <v>121</v>
      </c>
      <c r="F21" s="45">
        <v>2031</v>
      </c>
      <c r="G21" s="2">
        <f>G20-(H20-I20)</f>
        <v>2170466519.0107203</v>
      </c>
      <c r="H21" s="2"/>
      <c r="I21" s="2"/>
    </row>
    <row r="22" spans="1:12">
      <c r="A22" s="45" t="s">
        <v>113</v>
      </c>
      <c r="B22" s="2">
        <f>SUM(G12,G21,G29,G35)</f>
        <v>5451498693.9205465</v>
      </c>
      <c r="C22" s="2">
        <f>C34</f>
        <v>272728194.74572128</v>
      </c>
      <c r="D22" s="2" t="s">
        <v>120</v>
      </c>
      <c r="I22" s="45"/>
    </row>
    <row r="23" spans="1:12">
      <c r="A23" s="55" t="s">
        <v>113</v>
      </c>
      <c r="B23" s="2">
        <f>SUM(G12,G21,G29,G35)</f>
        <v>5451498693.9205465</v>
      </c>
      <c r="D23" s="2" t="s">
        <v>119</v>
      </c>
      <c r="G23" s="2"/>
    </row>
    <row r="24" spans="1:12">
      <c r="K24" s="237" t="s">
        <v>138</v>
      </c>
      <c r="L24" s="237"/>
    </row>
    <row r="25" spans="1:12">
      <c r="F25" s="45" t="s">
        <v>6</v>
      </c>
      <c r="G25" s="45" t="s">
        <v>198</v>
      </c>
      <c r="H25" s="45" t="s">
        <v>111</v>
      </c>
      <c r="I25" s="2" t="s">
        <v>112</v>
      </c>
      <c r="K25" s="66">
        <v>0.04</v>
      </c>
      <c r="L25" s="55" t="s">
        <v>132</v>
      </c>
    </row>
    <row r="26" spans="1:12">
      <c r="F26" s="45">
        <v>2028</v>
      </c>
      <c r="G26" s="2">
        <f>K28</f>
        <v>719394298.5037607</v>
      </c>
      <c r="H26" s="2">
        <f>I26</f>
        <v>28775771.940150429</v>
      </c>
      <c r="I26" s="2">
        <f>G26*$K$25</f>
        <v>28775771.940150429</v>
      </c>
      <c r="K26" s="55">
        <v>2</v>
      </c>
      <c r="L26" s="55" t="s">
        <v>133</v>
      </c>
    </row>
    <row r="27" spans="1:12">
      <c r="F27" s="45">
        <v>2029</v>
      </c>
      <c r="G27" s="2">
        <f t="shared" ref="G27:G29" si="6">G26-(H26-I26)</f>
        <v>719394298.5037607</v>
      </c>
      <c r="H27" s="2">
        <f t="shared" ref="H27:H28" si="7">I27</f>
        <v>28775771.940150429</v>
      </c>
      <c r="I27" s="2">
        <f t="shared" ref="I27:I28" si="8">G27*$K$25</f>
        <v>28775771.940150429</v>
      </c>
      <c r="K27" s="55">
        <v>30</v>
      </c>
      <c r="L27" s="55" t="s">
        <v>134</v>
      </c>
    </row>
    <row r="28" spans="1:12">
      <c r="F28" s="45">
        <v>2030</v>
      </c>
      <c r="G28" s="2">
        <f t="shared" si="6"/>
        <v>719394298.5037607</v>
      </c>
      <c r="H28" s="2">
        <f t="shared" si="7"/>
        <v>28775771.940150429</v>
      </c>
      <c r="I28" s="2">
        <f t="shared" si="8"/>
        <v>28775771.940150429</v>
      </c>
      <c r="K28" s="2">
        <f>B9</f>
        <v>719394298.5037607</v>
      </c>
      <c r="L28" s="55" t="s">
        <v>136</v>
      </c>
    </row>
    <row r="29" spans="1:12">
      <c r="C29" s="237" t="s">
        <v>139</v>
      </c>
      <c r="D29" s="237"/>
      <c r="F29" s="45">
        <v>2031</v>
      </c>
      <c r="G29" s="2">
        <f t="shared" si="6"/>
        <v>719394298.5037607</v>
      </c>
      <c r="H29" s="2"/>
      <c r="K29" s="20">
        <f>((((1+K25)^(1/K26)-1)/(1-(1+((1+K25)^(1/K26)-1))^-(K27*K26)))*K28)*K26</f>
        <v>41194735.333136283</v>
      </c>
      <c r="L29" s="55" t="s">
        <v>135</v>
      </c>
    </row>
    <row r="30" spans="1:12">
      <c r="C30" s="66">
        <v>0.04</v>
      </c>
      <c r="D30" s="55" t="s">
        <v>132</v>
      </c>
      <c r="G30" s="2"/>
      <c r="H30" s="2"/>
    </row>
    <row r="31" spans="1:12">
      <c r="C31" s="55">
        <v>2</v>
      </c>
      <c r="D31" s="55" t="s">
        <v>133</v>
      </c>
    </row>
    <row r="32" spans="1:12">
      <c r="C32" s="55">
        <v>40</v>
      </c>
      <c r="D32" s="55" t="s">
        <v>134</v>
      </c>
      <c r="G32" s="2"/>
      <c r="H32" s="2"/>
    </row>
    <row r="33" spans="1:12">
      <c r="C33" s="2">
        <f>B22</f>
        <v>5451498693.9205465</v>
      </c>
      <c r="D33" s="55" t="s">
        <v>136</v>
      </c>
      <c r="G33" s="2"/>
      <c r="H33" s="2"/>
      <c r="K33" s="237"/>
      <c r="L33" s="237"/>
    </row>
    <row r="34" spans="1:12">
      <c r="C34" s="20">
        <f>((((1+C30)^(1/C31)-1)/(1-(1+((1+C30)^(1/C31)-1))^-(C32*C31)))*C33)*C31</f>
        <v>272728194.74572128</v>
      </c>
      <c r="D34" s="55" t="s">
        <v>135</v>
      </c>
      <c r="G34" s="2"/>
      <c r="H34" s="2"/>
      <c r="K34" s="66"/>
      <c r="L34" s="55"/>
    </row>
    <row r="35" spans="1:12">
      <c r="G35" s="2"/>
      <c r="H35" s="2"/>
      <c r="K35" s="55"/>
      <c r="L35" s="55"/>
    </row>
    <row r="36" spans="1:12">
      <c r="G36" s="2"/>
      <c r="H36" s="2"/>
      <c r="K36" s="55"/>
      <c r="L36" s="55"/>
    </row>
    <row r="37" spans="1:12">
      <c r="A37" s="238" t="s">
        <v>211</v>
      </c>
      <c r="B37" s="238"/>
      <c r="C37" s="238"/>
      <c r="D37" s="238"/>
      <c r="E37" s="118"/>
      <c r="F37" s="118"/>
      <c r="G37" s="118"/>
      <c r="H37" s="118"/>
      <c r="I37" s="119"/>
      <c r="J37" s="118"/>
      <c r="K37" s="238" t="s">
        <v>195</v>
      </c>
      <c r="L37" s="238"/>
    </row>
    <row r="38" spans="1:12">
      <c r="A38" s="118" t="s">
        <v>6</v>
      </c>
      <c r="B38" s="119" t="s">
        <v>96</v>
      </c>
      <c r="C38" s="119" t="s">
        <v>108</v>
      </c>
      <c r="D38" s="119" t="s">
        <v>231</v>
      </c>
      <c r="E38" s="118"/>
      <c r="F38" s="118" t="s">
        <v>6</v>
      </c>
      <c r="G38" s="118" t="s">
        <v>196</v>
      </c>
      <c r="H38" s="118" t="s">
        <v>111</v>
      </c>
      <c r="I38" s="119" t="s">
        <v>112</v>
      </c>
      <c r="J38" s="118"/>
      <c r="K38" s="120">
        <v>0.05</v>
      </c>
      <c r="L38" s="118" t="s">
        <v>132</v>
      </c>
    </row>
    <row r="39" spans="1:12">
      <c r="A39" s="118">
        <v>2022</v>
      </c>
      <c r="B39" s="119">
        <f>LineOfCredit!B23+'Pro Forma Worst Case'!F8+'Pro Forma Worst Case'!G8-('Pro Forma Worst Case'!F18+'Pro Forma Worst Case'!F19+'Pro Forma Worst Case'!G18+'Pro Forma Worst Case'!G19)</f>
        <v>1701473143.7000506</v>
      </c>
      <c r="C39" s="119">
        <f>H39</f>
        <v>68058925.748002023</v>
      </c>
      <c r="D39" s="260" t="s">
        <v>194</v>
      </c>
      <c r="E39" s="118"/>
      <c r="F39" s="118">
        <v>2022</v>
      </c>
      <c r="G39" s="119">
        <f>B39</f>
        <v>1701473143.7000506</v>
      </c>
      <c r="H39" s="119">
        <f>I39</f>
        <v>68058925.748002023</v>
      </c>
      <c r="I39" s="119">
        <f>G39*$K$2</f>
        <v>68058925.748002023</v>
      </c>
      <c r="J39" s="118"/>
      <c r="K39" s="118">
        <v>2</v>
      </c>
      <c r="L39" s="118" t="s">
        <v>133</v>
      </c>
    </row>
    <row r="40" spans="1:12">
      <c r="A40" s="121">
        <v>2023</v>
      </c>
      <c r="B40" s="122"/>
      <c r="C40" s="122"/>
      <c r="D40" s="260"/>
      <c r="E40" s="118"/>
      <c r="F40" s="118">
        <v>2023</v>
      </c>
      <c r="G40" s="119">
        <f>G39-(H39-I39)</f>
        <v>1701473143.7000506</v>
      </c>
      <c r="H40" s="119">
        <f t="shared" ref="H40:H47" si="9">I40</f>
        <v>68058925.748002023</v>
      </c>
      <c r="I40" s="119">
        <f>G40*$K$2</f>
        <v>68058925.748002023</v>
      </c>
      <c r="J40" s="118"/>
      <c r="K40" s="118">
        <v>30</v>
      </c>
      <c r="L40" s="118" t="s">
        <v>134</v>
      </c>
    </row>
    <row r="41" spans="1:12">
      <c r="A41" s="123">
        <v>2024</v>
      </c>
      <c r="B41" s="124"/>
      <c r="C41" s="124"/>
      <c r="D41" s="261"/>
      <c r="E41" s="118"/>
      <c r="F41" s="118">
        <v>2024</v>
      </c>
      <c r="G41" s="119">
        <f t="shared" ref="G41:G48" si="10">G40-(H40-I40)</f>
        <v>1701473143.7000506</v>
      </c>
      <c r="H41" s="119">
        <f t="shared" si="9"/>
        <v>68058925.748002023</v>
      </c>
      <c r="I41" s="119">
        <f t="shared" ref="I41:I47" si="11">G41*$K$2</f>
        <v>68058925.748002023</v>
      </c>
      <c r="J41" s="118"/>
      <c r="K41" s="119">
        <f>B39</f>
        <v>1701473143.7000506</v>
      </c>
      <c r="L41" s="118" t="s">
        <v>136</v>
      </c>
    </row>
    <row r="42" spans="1:12">
      <c r="A42" s="121">
        <v>2025</v>
      </c>
      <c r="B42" s="122">
        <f>'Pro Forma Worst Case'!H8+'Pro Forma Worst Case'!I8+'Pro Forma Worst Case'!J8-('Pro Forma Worst Case'!H18+'Pro Forma Worst Case'!H19+'Pro Forma Worst Case'!I18+'Pro Forma Worst Case'!I19+'Pro Forma Worst Case'!J18+'Pro Forma Worst Case'!J19)</f>
        <v>2192498541.2749739</v>
      </c>
      <c r="C42" s="122">
        <f>H51</f>
        <v>87699941.65099895</v>
      </c>
      <c r="D42" s="262" t="s">
        <v>197</v>
      </c>
      <c r="E42" s="118"/>
      <c r="F42" s="118">
        <v>2025</v>
      </c>
      <c r="G42" s="119">
        <f t="shared" si="10"/>
        <v>1701473143.7000506</v>
      </c>
      <c r="H42" s="119">
        <f t="shared" si="9"/>
        <v>68058925.748002023</v>
      </c>
      <c r="I42" s="119">
        <f t="shared" si="11"/>
        <v>68058925.748002023</v>
      </c>
      <c r="J42" s="118"/>
      <c r="K42" s="125">
        <f>((((1+K38)^(1/K39)-1)/(1-(1+((1+K38)^(1/K39)-1))^-(K40*K39)))*K41)*K39</f>
        <v>109333272.97296101</v>
      </c>
      <c r="L42" s="118" t="s">
        <v>135</v>
      </c>
    </row>
    <row r="43" spans="1:12">
      <c r="A43" s="126">
        <v>2026</v>
      </c>
      <c r="B43" s="127"/>
      <c r="C43" s="127"/>
      <c r="D43" s="263"/>
      <c r="E43" s="118"/>
      <c r="F43" s="118">
        <v>2026</v>
      </c>
      <c r="G43" s="119">
        <f t="shared" si="10"/>
        <v>1701473143.7000506</v>
      </c>
      <c r="H43" s="119">
        <f t="shared" si="9"/>
        <v>68058925.748002023</v>
      </c>
      <c r="I43" s="119">
        <f t="shared" si="11"/>
        <v>68058925.748002023</v>
      </c>
      <c r="J43" s="118"/>
      <c r="K43" s="118"/>
      <c r="L43" s="118"/>
    </row>
    <row r="44" spans="1:12">
      <c r="A44" s="123">
        <v>2027</v>
      </c>
      <c r="B44" s="124"/>
      <c r="C44" s="124"/>
      <c r="D44" s="261"/>
      <c r="E44" s="118"/>
      <c r="F44" s="118">
        <v>2027</v>
      </c>
      <c r="G44" s="119">
        <f t="shared" si="10"/>
        <v>1701473143.7000506</v>
      </c>
      <c r="H44" s="119">
        <f t="shared" si="9"/>
        <v>68058925.748002023</v>
      </c>
      <c r="I44" s="119">
        <f t="shared" si="11"/>
        <v>68058925.748002023</v>
      </c>
      <c r="J44" s="118"/>
      <c r="K44" s="118"/>
      <c r="L44" s="118"/>
    </row>
    <row r="45" spans="1:12">
      <c r="A45" s="121">
        <v>2028</v>
      </c>
      <c r="B45" s="122">
        <f>'Pro Forma Worst Case'!K8+'Pro Forma Worst Case'!L8+'Pro Forma Worst Case'!M8-('Pro Forma Worst Case'!K18+'Pro Forma Worst Case'!K19+'Pro Forma Worst Case'!L18+'Pro Forma Worst Case'!L19+'Pro Forma Worst Case'!M18+'Pro Forma Worst Case'!M19)</f>
        <v>2209108961.3270664</v>
      </c>
      <c r="C45" s="122">
        <f>H62</f>
        <v>88364358.453082666</v>
      </c>
      <c r="D45" s="128"/>
      <c r="E45" s="118"/>
      <c r="F45" s="118">
        <v>2028</v>
      </c>
      <c r="G45" s="119">
        <f t="shared" si="10"/>
        <v>1701473143.7000506</v>
      </c>
      <c r="H45" s="119">
        <f t="shared" si="9"/>
        <v>68058925.748002023</v>
      </c>
      <c r="I45" s="119">
        <f t="shared" si="11"/>
        <v>68058925.748002023</v>
      </c>
      <c r="J45" s="118"/>
      <c r="K45" s="118"/>
      <c r="L45" s="118"/>
    </row>
    <row r="46" spans="1:12">
      <c r="A46" s="126">
        <v>2029</v>
      </c>
      <c r="B46" s="127"/>
      <c r="C46" s="127"/>
      <c r="D46" s="129"/>
      <c r="E46" s="118"/>
      <c r="F46" s="118">
        <v>2029</v>
      </c>
      <c r="G46" s="119">
        <f t="shared" si="10"/>
        <v>1701473143.7000506</v>
      </c>
      <c r="H46" s="119">
        <f t="shared" si="9"/>
        <v>68058925.748002023</v>
      </c>
      <c r="I46" s="119">
        <f t="shared" si="11"/>
        <v>68058925.748002023</v>
      </c>
      <c r="J46" s="118"/>
      <c r="K46" s="118"/>
      <c r="L46" s="118"/>
    </row>
    <row r="47" spans="1:12">
      <c r="A47" s="123">
        <v>2030</v>
      </c>
      <c r="B47" s="124"/>
      <c r="C47" s="124"/>
      <c r="D47" s="130"/>
      <c r="E47" s="118"/>
      <c r="F47" s="118">
        <v>2030</v>
      </c>
      <c r="G47" s="119">
        <f t="shared" si="10"/>
        <v>1701473143.7000506</v>
      </c>
      <c r="H47" s="119">
        <f t="shared" si="9"/>
        <v>68058925.748002023</v>
      </c>
      <c r="I47" s="119">
        <f t="shared" si="11"/>
        <v>68058925.748002023</v>
      </c>
      <c r="J47" s="118"/>
      <c r="K47" s="238" t="s">
        <v>137</v>
      </c>
      <c r="L47" s="238"/>
    </row>
    <row r="48" spans="1:12">
      <c r="A48" s="118"/>
      <c r="B48" s="119"/>
      <c r="C48" s="119"/>
      <c r="D48" s="119"/>
      <c r="E48" s="118"/>
      <c r="F48" s="118">
        <v>2031</v>
      </c>
      <c r="G48" s="119">
        <f t="shared" si="10"/>
        <v>1701473143.7000506</v>
      </c>
      <c r="H48" s="118"/>
      <c r="I48" s="119"/>
      <c r="J48" s="118"/>
      <c r="K48" s="120">
        <v>0.05</v>
      </c>
      <c r="L48" s="118" t="s">
        <v>132</v>
      </c>
    </row>
    <row r="49" spans="1:12">
      <c r="A49" s="118"/>
      <c r="B49" s="119"/>
      <c r="C49" s="119"/>
      <c r="D49" s="119"/>
      <c r="E49" s="118"/>
      <c r="F49" s="118"/>
      <c r="G49" s="118"/>
      <c r="H49" s="118"/>
      <c r="I49" s="119"/>
      <c r="J49" s="118"/>
      <c r="K49" s="118">
        <v>2</v>
      </c>
      <c r="L49" s="118" t="s">
        <v>133</v>
      </c>
    </row>
    <row r="50" spans="1:12">
      <c r="A50" s="118" t="s">
        <v>98</v>
      </c>
      <c r="B50" s="119">
        <f>SUM(B39:B47)</f>
        <v>6103080646.3020906</v>
      </c>
      <c r="C50" s="119">
        <f>(C39*9)+(C40*8)+(C42*6)+(C45*3)</f>
        <v>1403823056.9972599</v>
      </c>
      <c r="D50" s="119"/>
      <c r="E50" s="118"/>
      <c r="F50" s="118" t="s">
        <v>6</v>
      </c>
      <c r="G50" s="118" t="s">
        <v>197</v>
      </c>
      <c r="H50" s="118" t="s">
        <v>111</v>
      </c>
      <c r="I50" s="119" t="s">
        <v>112</v>
      </c>
      <c r="J50" s="118"/>
      <c r="K50" s="118">
        <v>30</v>
      </c>
      <c r="L50" s="118" t="s">
        <v>134</v>
      </c>
    </row>
    <row r="51" spans="1:12">
      <c r="A51" s="118"/>
      <c r="B51" s="119"/>
      <c r="C51" s="119"/>
      <c r="D51" s="119"/>
      <c r="E51" s="118"/>
      <c r="F51" s="118">
        <v>2025</v>
      </c>
      <c r="G51" s="119">
        <f>K51</f>
        <v>2192498541.2749739</v>
      </c>
      <c r="H51" s="119">
        <f>I51</f>
        <v>87699941.65099895</v>
      </c>
      <c r="I51" s="119">
        <f>G51*$K$12</f>
        <v>87699941.65099895</v>
      </c>
      <c r="J51" s="118"/>
      <c r="K51" s="119">
        <f>B42</f>
        <v>2192498541.2749739</v>
      </c>
      <c r="L51" s="118" t="s">
        <v>136</v>
      </c>
    </row>
    <row r="52" spans="1:12">
      <c r="A52" s="118"/>
      <c r="B52" s="119"/>
      <c r="C52" s="119"/>
      <c r="D52" s="119"/>
      <c r="E52" s="118"/>
      <c r="F52" s="118">
        <v>2026</v>
      </c>
      <c r="G52" s="119">
        <f t="shared" ref="G52:G54" si="12">G51-(H51-I51)</f>
        <v>2192498541.2749739</v>
      </c>
      <c r="H52" s="119">
        <f t="shared" ref="H52:H56" si="13">I52</f>
        <v>87699941.65099895</v>
      </c>
      <c r="I52" s="119">
        <f t="shared" ref="I52:I56" si="14">G52*$K$12</f>
        <v>87699941.65099895</v>
      </c>
      <c r="J52" s="118"/>
      <c r="K52" s="125">
        <f>((((1+K48)^(1/K49)-1)/(1-(1+((1+K48)^(1/K49)-1))^-(K50*K49)))*K51)*K49</f>
        <v>140885586.34828156</v>
      </c>
      <c r="L52" s="118" t="s">
        <v>135</v>
      </c>
    </row>
    <row r="53" spans="1:12">
      <c r="A53" s="118"/>
      <c r="B53" s="119"/>
      <c r="C53" s="119"/>
      <c r="D53" s="119"/>
      <c r="E53" s="118"/>
      <c r="F53" s="118">
        <v>2027</v>
      </c>
      <c r="G53" s="119">
        <f t="shared" si="12"/>
        <v>2192498541.2749739</v>
      </c>
      <c r="H53" s="119">
        <f t="shared" si="13"/>
        <v>87699941.65099895</v>
      </c>
      <c r="I53" s="119">
        <f t="shared" si="14"/>
        <v>87699941.65099895</v>
      </c>
      <c r="J53" s="118"/>
      <c r="K53" s="118"/>
      <c r="L53" s="118"/>
    </row>
    <row r="54" spans="1:12">
      <c r="A54" s="118"/>
      <c r="B54" s="119"/>
      <c r="C54" s="119"/>
      <c r="D54" s="119"/>
      <c r="E54" s="118"/>
      <c r="F54" s="118">
        <v>2028</v>
      </c>
      <c r="G54" s="119">
        <f t="shared" si="12"/>
        <v>2192498541.2749739</v>
      </c>
      <c r="H54" s="119">
        <f t="shared" si="13"/>
        <v>87699941.65099895</v>
      </c>
      <c r="I54" s="119">
        <f t="shared" si="14"/>
        <v>87699941.65099895</v>
      </c>
      <c r="J54" s="118"/>
      <c r="K54" s="118"/>
      <c r="L54" s="118"/>
    </row>
    <row r="55" spans="1:12">
      <c r="A55" s="118"/>
      <c r="B55" s="119"/>
      <c r="C55" s="119"/>
      <c r="D55" s="119"/>
      <c r="E55" s="118"/>
      <c r="F55" s="118">
        <v>2029</v>
      </c>
      <c r="G55" s="119">
        <f>G54-(H54-I54)</f>
        <v>2192498541.2749739</v>
      </c>
      <c r="H55" s="119">
        <f t="shared" si="13"/>
        <v>87699941.65099895</v>
      </c>
      <c r="I55" s="119">
        <f t="shared" si="14"/>
        <v>87699941.65099895</v>
      </c>
      <c r="J55" s="118"/>
      <c r="K55" s="118"/>
      <c r="L55" s="118"/>
    </row>
    <row r="56" spans="1:12">
      <c r="A56" s="238" t="s">
        <v>199</v>
      </c>
      <c r="B56" s="238"/>
      <c r="C56" s="238"/>
      <c r="D56" s="238"/>
      <c r="E56" s="118"/>
      <c r="F56" s="118">
        <v>2030</v>
      </c>
      <c r="G56" s="119">
        <f>G55-(H55-I55)</f>
        <v>2192498541.2749739</v>
      </c>
      <c r="H56" s="119">
        <f t="shared" si="13"/>
        <v>87699941.65099895</v>
      </c>
      <c r="I56" s="119">
        <f t="shared" si="14"/>
        <v>87699941.65099895</v>
      </c>
      <c r="J56" s="118"/>
      <c r="K56" s="118"/>
      <c r="L56" s="118"/>
    </row>
    <row r="57" spans="1:12">
      <c r="A57" s="118"/>
      <c r="B57" s="118" t="s">
        <v>96</v>
      </c>
      <c r="C57" s="118" t="s">
        <v>121</v>
      </c>
      <c r="D57" s="118"/>
      <c r="E57" s="118"/>
      <c r="F57" s="118">
        <v>2031</v>
      </c>
      <c r="G57" s="119">
        <f>G56-(H56-I56)</f>
        <v>2192498541.2749739</v>
      </c>
      <c r="H57" s="119"/>
      <c r="I57" s="119"/>
      <c r="J57" s="118"/>
      <c r="K57" s="118"/>
      <c r="L57" s="118"/>
    </row>
    <row r="58" spans="1:12">
      <c r="A58" s="118" t="s">
        <v>113</v>
      </c>
      <c r="B58" s="119">
        <f>SUM(G48,G57,G65,G71)</f>
        <v>6103080646.3020906</v>
      </c>
      <c r="C58" s="119">
        <f>C70</f>
        <v>351338156.17558342</v>
      </c>
      <c r="D58" s="119" t="s">
        <v>120</v>
      </c>
      <c r="E58" s="118"/>
      <c r="F58" s="118"/>
      <c r="G58" s="118"/>
      <c r="H58" s="118"/>
      <c r="I58" s="118"/>
      <c r="J58" s="118"/>
      <c r="K58" s="118"/>
      <c r="L58" s="118"/>
    </row>
    <row r="59" spans="1:12">
      <c r="A59" s="118" t="s">
        <v>113</v>
      </c>
      <c r="B59" s="119">
        <f>SUM(G48,G57,G65,G71)</f>
        <v>6103080646.3020906</v>
      </c>
      <c r="C59" s="119">
        <v>252297570.81999999</v>
      </c>
      <c r="D59" s="119" t="s">
        <v>119</v>
      </c>
      <c r="E59" s="118"/>
      <c r="F59" s="118"/>
      <c r="G59" s="119"/>
      <c r="H59" s="118"/>
      <c r="I59" s="119"/>
      <c r="J59" s="118"/>
      <c r="K59" s="118"/>
      <c r="L59" s="118"/>
    </row>
    <row r="60" spans="1:12">
      <c r="A60" s="118"/>
      <c r="B60" s="119"/>
      <c r="C60" s="119"/>
      <c r="D60" s="119"/>
      <c r="E60" s="118"/>
      <c r="F60" s="118"/>
      <c r="G60" s="118"/>
      <c r="H60" s="118"/>
      <c r="I60" s="119"/>
      <c r="J60" s="118"/>
      <c r="K60" s="238" t="s">
        <v>138</v>
      </c>
      <c r="L60" s="238"/>
    </row>
    <row r="61" spans="1:12">
      <c r="A61" s="118"/>
      <c r="B61" s="119"/>
      <c r="C61" s="119"/>
      <c r="D61" s="119"/>
      <c r="E61" s="118"/>
      <c r="F61" s="118" t="s">
        <v>6</v>
      </c>
      <c r="G61" s="118" t="s">
        <v>198</v>
      </c>
      <c r="H61" s="118" t="s">
        <v>111</v>
      </c>
      <c r="I61" s="119" t="s">
        <v>112</v>
      </c>
      <c r="J61" s="118"/>
      <c r="K61" s="120">
        <v>0.05</v>
      </c>
      <c r="L61" s="118" t="s">
        <v>132</v>
      </c>
    </row>
    <row r="62" spans="1:12">
      <c r="A62" s="118"/>
      <c r="B62" s="119"/>
      <c r="C62" s="119"/>
      <c r="D62" s="119"/>
      <c r="E62" s="118"/>
      <c r="F62" s="118">
        <v>2028</v>
      </c>
      <c r="G62" s="119">
        <f>K64</f>
        <v>2209108961.3270664</v>
      </c>
      <c r="H62" s="119">
        <f>I62</f>
        <v>88364358.453082666</v>
      </c>
      <c r="I62" s="119">
        <f>G62*$K$25</f>
        <v>88364358.453082666</v>
      </c>
      <c r="J62" s="118"/>
      <c r="K62" s="118">
        <v>2</v>
      </c>
      <c r="L62" s="118" t="s">
        <v>133</v>
      </c>
    </row>
    <row r="63" spans="1:12">
      <c r="A63" s="118"/>
      <c r="B63" s="119"/>
      <c r="C63" s="119"/>
      <c r="D63" s="119"/>
      <c r="E63" s="118"/>
      <c r="F63" s="118">
        <v>2029</v>
      </c>
      <c r="G63" s="119">
        <f t="shared" ref="G63:G65" si="15">G62-(H62-I62)</f>
        <v>2209108961.3270664</v>
      </c>
      <c r="H63" s="119">
        <f t="shared" ref="H63:H64" si="16">I63</f>
        <v>88364358.453082666</v>
      </c>
      <c r="I63" s="119">
        <f t="shared" ref="I63:I64" si="17">G63*$K$25</f>
        <v>88364358.453082666</v>
      </c>
      <c r="J63" s="118"/>
      <c r="K63" s="118">
        <v>30</v>
      </c>
      <c r="L63" s="118" t="s">
        <v>134</v>
      </c>
    </row>
    <row r="64" spans="1:12">
      <c r="A64" s="118"/>
      <c r="B64" s="119"/>
      <c r="C64" s="119"/>
      <c r="D64" s="119"/>
      <c r="E64" s="118"/>
      <c r="F64" s="118">
        <v>2030</v>
      </c>
      <c r="G64" s="119">
        <f t="shared" si="15"/>
        <v>2209108961.3270664</v>
      </c>
      <c r="H64" s="119">
        <f t="shared" si="16"/>
        <v>88364358.453082666</v>
      </c>
      <c r="I64" s="119">
        <f t="shared" si="17"/>
        <v>88364358.453082666</v>
      </c>
      <c r="J64" s="118"/>
      <c r="K64" s="119">
        <f>B45</f>
        <v>2209108961.3270664</v>
      </c>
      <c r="L64" s="118" t="s">
        <v>136</v>
      </c>
    </row>
    <row r="65" spans="1:12">
      <c r="A65" s="118"/>
      <c r="B65" s="119"/>
      <c r="C65" s="238" t="s">
        <v>139</v>
      </c>
      <c r="D65" s="238"/>
      <c r="E65" s="118"/>
      <c r="F65" s="118">
        <v>2031</v>
      </c>
      <c r="G65" s="119">
        <f t="shared" si="15"/>
        <v>2209108961.3270664</v>
      </c>
      <c r="H65" s="119"/>
      <c r="I65" s="119"/>
      <c r="J65" s="118"/>
      <c r="K65" s="125">
        <f>((((1+K61)^(1/K62)-1)/(1-(1+((1+K61)^(1/K62)-1))^-(K63*K62)))*K64)*K62</f>
        <v>141952938.83425832</v>
      </c>
      <c r="L65" s="118" t="s">
        <v>135</v>
      </c>
    </row>
    <row r="66" spans="1:12">
      <c r="A66" s="118"/>
      <c r="B66" s="119"/>
      <c r="C66" s="120">
        <v>0.05</v>
      </c>
      <c r="D66" s="118" t="s">
        <v>132</v>
      </c>
      <c r="E66" s="118"/>
      <c r="F66" s="118"/>
      <c r="G66" s="119"/>
      <c r="H66" s="119"/>
      <c r="I66" s="119"/>
      <c r="J66" s="118"/>
      <c r="K66" s="118"/>
      <c r="L66" s="118"/>
    </row>
    <row r="67" spans="1:12">
      <c r="A67" s="118"/>
      <c r="B67" s="119"/>
      <c r="C67" s="118">
        <v>2</v>
      </c>
      <c r="D67" s="118" t="s">
        <v>133</v>
      </c>
      <c r="E67" s="118"/>
      <c r="F67" s="118"/>
      <c r="G67" s="118"/>
      <c r="H67" s="118"/>
      <c r="I67" s="119"/>
      <c r="J67" s="118"/>
      <c r="K67" s="118"/>
      <c r="L67" s="118"/>
    </row>
    <row r="68" spans="1:12">
      <c r="A68" s="118"/>
      <c r="B68" s="119"/>
      <c r="C68" s="118">
        <v>40</v>
      </c>
      <c r="D68" s="118" t="s">
        <v>134</v>
      </c>
      <c r="E68" s="118"/>
      <c r="F68" s="118"/>
      <c r="G68" s="119"/>
      <c r="H68" s="119"/>
      <c r="I68" s="119"/>
      <c r="J68" s="118"/>
      <c r="K68" s="118"/>
      <c r="L68" s="118"/>
    </row>
    <row r="69" spans="1:12">
      <c r="A69" s="118"/>
      <c r="B69" s="119"/>
      <c r="C69" s="119">
        <f>B58</f>
        <v>6103080646.3020906</v>
      </c>
      <c r="D69" s="118" t="s">
        <v>136</v>
      </c>
      <c r="E69" s="118"/>
      <c r="F69" s="118"/>
      <c r="G69" s="119"/>
      <c r="H69" s="119"/>
      <c r="I69" s="119"/>
      <c r="J69" s="118"/>
      <c r="K69" s="238"/>
      <c r="L69" s="238"/>
    </row>
    <row r="70" spans="1:12">
      <c r="A70" s="118"/>
      <c r="B70" s="119"/>
      <c r="C70" s="125">
        <f>((((1+C66)^(1/C67)-1)/(1-(1+((1+C66)^(1/C67)-1))^-(C68*C67)))*C69)*C67</f>
        <v>351338156.17558342</v>
      </c>
      <c r="D70" s="118" t="s">
        <v>135</v>
      </c>
      <c r="E70" s="118"/>
      <c r="F70" s="118"/>
      <c r="G70" s="119"/>
      <c r="H70" s="119"/>
      <c r="I70" s="119"/>
      <c r="J70" s="118"/>
      <c r="K70" s="120"/>
      <c r="L70" s="118"/>
    </row>
    <row r="71" spans="1:12">
      <c r="A71" s="87"/>
      <c r="B71" s="115"/>
      <c r="C71" s="115"/>
      <c r="D71" s="115"/>
      <c r="E71" s="87"/>
      <c r="F71" s="87"/>
      <c r="G71" s="115"/>
      <c r="H71" s="115"/>
      <c r="I71" s="115"/>
      <c r="J71" s="87"/>
      <c r="K71" s="87"/>
      <c r="L71" s="87"/>
    </row>
    <row r="73" spans="1:12">
      <c r="A73" s="237" t="s">
        <v>212</v>
      </c>
      <c r="B73" s="237"/>
      <c r="C73" s="237"/>
      <c r="D73" s="237"/>
      <c r="E73" s="87"/>
      <c r="F73" s="87"/>
      <c r="G73" s="87"/>
      <c r="H73" s="87"/>
      <c r="I73" s="115"/>
      <c r="J73" s="87"/>
      <c r="K73" s="237" t="s">
        <v>195</v>
      </c>
      <c r="L73" s="237"/>
    </row>
    <row r="74" spans="1:12">
      <c r="A74" s="87" t="s">
        <v>6</v>
      </c>
      <c r="B74" s="115" t="s">
        <v>96</v>
      </c>
      <c r="C74" s="115" t="s">
        <v>108</v>
      </c>
      <c r="D74" s="115" t="s">
        <v>193</v>
      </c>
      <c r="E74" s="87"/>
      <c r="F74" s="87" t="s">
        <v>6</v>
      </c>
      <c r="G74" s="87" t="s">
        <v>196</v>
      </c>
      <c r="H74" s="87" t="s">
        <v>111</v>
      </c>
      <c r="I74" s="115" t="s">
        <v>112</v>
      </c>
      <c r="J74" s="87"/>
      <c r="K74" s="66">
        <v>0.04</v>
      </c>
      <c r="L74" s="87" t="s">
        <v>132</v>
      </c>
    </row>
    <row r="75" spans="1:12">
      <c r="A75" s="87">
        <v>2022</v>
      </c>
      <c r="B75" s="115">
        <f>LineOfCredit!B36+'Pro Forma Best Case'!E8+'Pro Forma Best Case'!F8+'Pro Forma Best Case'!G8-('Pro Forma Best Case'!E18+'Pro Forma Best Case'!E19+'Pro Forma Best Case'!F18+'Pro Forma Best Case'!F19+'Pro Forma Best Case'!G18+'Pro Forma Best Case'!G19)</f>
        <v>2852742336.6500378</v>
      </c>
      <c r="C75" s="115">
        <f>H75</f>
        <v>114109693.46600151</v>
      </c>
      <c r="D75" s="256" t="s">
        <v>194</v>
      </c>
      <c r="E75" s="87"/>
      <c r="F75" s="87">
        <v>2022</v>
      </c>
      <c r="G75" s="115">
        <f>B75</f>
        <v>2852742336.6500378</v>
      </c>
      <c r="H75" s="115">
        <f>I75</f>
        <v>114109693.46600151</v>
      </c>
      <c r="I75" s="115">
        <f>G75*$K$2</f>
        <v>114109693.46600151</v>
      </c>
      <c r="J75" s="87"/>
      <c r="K75" s="87">
        <v>2</v>
      </c>
      <c r="L75" s="87" t="s">
        <v>133</v>
      </c>
    </row>
    <row r="76" spans="1:12">
      <c r="A76" s="48">
        <v>2023</v>
      </c>
      <c r="B76" s="88"/>
      <c r="C76" s="88"/>
      <c r="D76" s="256"/>
      <c r="E76" s="87"/>
      <c r="F76" s="87">
        <v>2023</v>
      </c>
      <c r="G76" s="115">
        <f>G75-(H75-I75)</f>
        <v>2852742336.6500378</v>
      </c>
      <c r="H76" s="115">
        <f t="shared" ref="H76:H83" si="18">I76</f>
        <v>114109693.46600151</v>
      </c>
      <c r="I76" s="115">
        <f>G76*$K$2</f>
        <v>114109693.46600151</v>
      </c>
      <c r="J76" s="87"/>
      <c r="K76" s="87">
        <v>30</v>
      </c>
      <c r="L76" s="87" t="s">
        <v>134</v>
      </c>
    </row>
    <row r="77" spans="1:12">
      <c r="A77" s="52">
        <v>2024</v>
      </c>
      <c r="B77" s="89"/>
      <c r="C77" s="89"/>
      <c r="D77" s="257"/>
      <c r="E77" s="87"/>
      <c r="F77" s="87">
        <v>2024</v>
      </c>
      <c r="G77" s="115">
        <f t="shared" ref="G77:G84" si="19">G76-(H76-I76)</f>
        <v>2852742336.6500378</v>
      </c>
      <c r="H77" s="115">
        <f t="shared" si="18"/>
        <v>114109693.46600151</v>
      </c>
      <c r="I77" s="115">
        <f t="shared" ref="I77:I83" si="20">G77*$K$2</f>
        <v>114109693.46600151</v>
      </c>
      <c r="J77" s="87"/>
      <c r="K77" s="115">
        <f>B75</f>
        <v>2852742336.6500378</v>
      </c>
      <c r="L77" s="87" t="s">
        <v>136</v>
      </c>
    </row>
    <row r="78" spans="1:12">
      <c r="A78" s="48">
        <v>2025</v>
      </c>
      <c r="B78" s="88">
        <f>'Pro Forma Best Case'!H8+'Pro Forma Best Case'!I8+'Pro Forma Best Case'!J8-('Pro Forma Best Case'!H18+'Pro Forma Best Case'!H19+'Pro Forma Best Case'!I18+'Pro Forma Best Case'!I19+'Pro Forma Best Case'!J18+'Pro Forma Best Case'!J19)</f>
        <v>1856643356.2228098</v>
      </c>
      <c r="C78" s="88">
        <f>H87</f>
        <v>74265734.248912394</v>
      </c>
      <c r="D78" s="258" t="s">
        <v>197</v>
      </c>
      <c r="E78" s="87"/>
      <c r="F78" s="87">
        <v>2025</v>
      </c>
      <c r="G78" s="115">
        <f t="shared" si="19"/>
        <v>2852742336.6500378</v>
      </c>
      <c r="H78" s="115">
        <f t="shared" si="18"/>
        <v>114109693.46600151</v>
      </c>
      <c r="I78" s="115">
        <f t="shared" si="20"/>
        <v>114109693.46600151</v>
      </c>
      <c r="J78" s="87"/>
      <c r="K78" s="20">
        <f>((((1+K74)^(1/K75)-1)/(1-(1+((1+K74)^(1/K75)-1))^-(K76*K75)))*K77)*K75</f>
        <v>163356820.83712921</v>
      </c>
      <c r="L78" s="87" t="s">
        <v>135</v>
      </c>
    </row>
    <row r="79" spans="1:12">
      <c r="A79" s="50">
        <v>2026</v>
      </c>
      <c r="B79" s="90"/>
      <c r="C79" s="90"/>
      <c r="D79" s="259"/>
      <c r="E79" s="87"/>
      <c r="F79" s="87">
        <v>2026</v>
      </c>
      <c r="G79" s="115">
        <f t="shared" si="19"/>
        <v>2852742336.6500378</v>
      </c>
      <c r="H79" s="115">
        <f t="shared" si="18"/>
        <v>114109693.46600151</v>
      </c>
      <c r="I79" s="115">
        <f t="shared" si="20"/>
        <v>114109693.46600151</v>
      </c>
      <c r="J79" s="87"/>
      <c r="K79" s="87"/>
      <c r="L79" s="87"/>
    </row>
    <row r="80" spans="1:12">
      <c r="A80" s="52">
        <v>2027</v>
      </c>
      <c r="B80" s="89"/>
      <c r="C80" s="89"/>
      <c r="D80" s="257"/>
      <c r="E80" s="87"/>
      <c r="F80" s="87">
        <v>2027</v>
      </c>
      <c r="G80" s="115">
        <f t="shared" si="19"/>
        <v>2852742336.6500378</v>
      </c>
      <c r="H80" s="115">
        <f t="shared" si="18"/>
        <v>114109693.46600151</v>
      </c>
      <c r="I80" s="115">
        <f t="shared" si="20"/>
        <v>114109693.46600151</v>
      </c>
      <c r="J80" s="87"/>
      <c r="K80" s="87"/>
      <c r="L80" s="87"/>
    </row>
    <row r="81" spans="1:12">
      <c r="A81" s="48">
        <v>2028</v>
      </c>
      <c r="B81" s="88">
        <f>'ProForma View 80CL'!K79+'ProForma View 80CL'!L79-('ProForma View 80CL'!K89+'ProForma View 80CL'!L89)</f>
        <v>0</v>
      </c>
      <c r="C81" s="88">
        <f>H98</f>
        <v>0</v>
      </c>
      <c r="D81" s="112"/>
      <c r="E81" s="87"/>
      <c r="F81" s="87">
        <v>2028</v>
      </c>
      <c r="G81" s="115">
        <f t="shared" si="19"/>
        <v>2852742336.6500378</v>
      </c>
      <c r="H81" s="115">
        <f t="shared" si="18"/>
        <v>114109693.46600151</v>
      </c>
      <c r="I81" s="115">
        <f t="shared" si="20"/>
        <v>114109693.46600151</v>
      </c>
      <c r="J81" s="87"/>
      <c r="K81" s="87"/>
      <c r="L81" s="87"/>
    </row>
    <row r="82" spans="1:12">
      <c r="A82" s="50">
        <v>2029</v>
      </c>
      <c r="B82" s="90"/>
      <c r="C82" s="90"/>
      <c r="D82" s="114"/>
      <c r="E82" s="87"/>
      <c r="F82" s="87">
        <v>2029</v>
      </c>
      <c r="G82" s="115">
        <f t="shared" si="19"/>
        <v>2852742336.6500378</v>
      </c>
      <c r="H82" s="115">
        <f t="shared" si="18"/>
        <v>114109693.46600151</v>
      </c>
      <c r="I82" s="115">
        <f t="shared" si="20"/>
        <v>114109693.46600151</v>
      </c>
      <c r="J82" s="87"/>
      <c r="K82" s="87"/>
      <c r="L82" s="87"/>
    </row>
    <row r="83" spans="1:12">
      <c r="A83" s="52">
        <v>2030</v>
      </c>
      <c r="B83" s="89"/>
      <c r="C83" s="89"/>
      <c r="D83" s="113"/>
      <c r="E83" s="87"/>
      <c r="F83" s="87">
        <v>2030</v>
      </c>
      <c r="G83" s="115">
        <f t="shared" si="19"/>
        <v>2852742336.6500378</v>
      </c>
      <c r="H83" s="115">
        <f t="shared" si="18"/>
        <v>114109693.46600151</v>
      </c>
      <c r="I83" s="115">
        <f t="shared" si="20"/>
        <v>114109693.46600151</v>
      </c>
      <c r="J83" s="87"/>
      <c r="K83" s="237" t="s">
        <v>137</v>
      </c>
      <c r="L83" s="237"/>
    </row>
    <row r="84" spans="1:12">
      <c r="A84" s="87"/>
      <c r="B84" s="115"/>
      <c r="C84" s="115"/>
      <c r="D84" s="115"/>
      <c r="E84" s="87"/>
      <c r="F84" s="87">
        <v>2031</v>
      </c>
      <c r="G84" s="115">
        <f t="shared" si="19"/>
        <v>2852742336.6500378</v>
      </c>
      <c r="H84" s="87"/>
      <c r="I84" s="115"/>
      <c r="J84" s="87"/>
      <c r="K84" s="66">
        <v>0.04</v>
      </c>
      <c r="L84" s="87" t="s">
        <v>132</v>
      </c>
    </row>
    <row r="85" spans="1:12">
      <c r="A85" s="87"/>
      <c r="B85" s="115"/>
      <c r="C85" s="115"/>
      <c r="D85" s="115"/>
      <c r="E85" s="87"/>
      <c r="F85" s="87"/>
      <c r="G85" s="87"/>
      <c r="H85" s="87"/>
      <c r="I85" s="115"/>
      <c r="J85" s="87"/>
      <c r="K85" s="87">
        <v>2</v>
      </c>
      <c r="L85" s="87" t="s">
        <v>133</v>
      </c>
    </row>
    <row r="86" spans="1:12">
      <c r="A86" s="87" t="s">
        <v>98</v>
      </c>
      <c r="B86" s="115">
        <f>SUM(B75:B83)</f>
        <v>4709385692.8728476</v>
      </c>
      <c r="C86" s="115">
        <f>(C75*9)+(C76*8)+(C78*6)+(C81*3)</f>
        <v>1472581646.6874881</v>
      </c>
      <c r="D86" s="115"/>
      <c r="E86" s="87"/>
      <c r="F86" s="87" t="s">
        <v>6</v>
      </c>
      <c r="G86" s="87" t="s">
        <v>197</v>
      </c>
      <c r="H86" s="87" t="s">
        <v>111</v>
      </c>
      <c r="I86" s="115" t="s">
        <v>112</v>
      </c>
      <c r="J86" s="87"/>
      <c r="K86" s="87">
        <v>30</v>
      </c>
      <c r="L86" s="87" t="s">
        <v>134</v>
      </c>
    </row>
    <row r="87" spans="1:12">
      <c r="A87" s="87"/>
      <c r="B87" s="115"/>
      <c r="C87" s="115"/>
      <c r="D87" s="115"/>
      <c r="E87" s="87"/>
      <c r="F87" s="87">
        <v>2025</v>
      </c>
      <c r="G87" s="115">
        <f>K87</f>
        <v>1856643356.2228098</v>
      </c>
      <c r="H87" s="115">
        <f>I87</f>
        <v>74265734.248912394</v>
      </c>
      <c r="I87" s="115">
        <f>G87*$K$12</f>
        <v>74265734.248912394</v>
      </c>
      <c r="J87" s="87"/>
      <c r="K87" s="115">
        <f>B78</f>
        <v>1856643356.2228098</v>
      </c>
      <c r="L87" s="87" t="s">
        <v>136</v>
      </c>
    </row>
    <row r="88" spans="1:12">
      <c r="A88" s="87"/>
      <c r="B88" s="115"/>
      <c r="C88" s="115"/>
      <c r="D88" s="115"/>
      <c r="E88" s="87"/>
      <c r="F88" s="87">
        <v>2026</v>
      </c>
      <c r="G88" s="115">
        <f t="shared" ref="G88:G90" si="21">G87-(H87-I87)</f>
        <v>1856643356.2228098</v>
      </c>
      <c r="H88" s="115">
        <f t="shared" ref="H88:H92" si="22">I88</f>
        <v>74265734.248912394</v>
      </c>
      <c r="I88" s="115">
        <f t="shared" ref="I88:I92" si="23">G88*$K$12</f>
        <v>74265734.248912394</v>
      </c>
      <c r="J88" s="87"/>
      <c r="K88" s="20">
        <f>((((1+K84)^(1/K85)-1)/(1-(1+((1+K84)^(1/K85)-1))^-(K86*K85)))*K87)*K85</f>
        <v>106317122.37183471</v>
      </c>
      <c r="L88" s="87" t="s">
        <v>135</v>
      </c>
    </row>
    <row r="89" spans="1:12">
      <c r="A89" s="87"/>
      <c r="B89" s="115"/>
      <c r="C89" s="115"/>
      <c r="D89" s="115"/>
      <c r="E89" s="87"/>
      <c r="F89" s="87">
        <v>2027</v>
      </c>
      <c r="G89" s="115">
        <f t="shared" si="21"/>
        <v>1856643356.2228098</v>
      </c>
      <c r="H89" s="115">
        <f t="shared" si="22"/>
        <v>74265734.248912394</v>
      </c>
      <c r="I89" s="115">
        <f t="shared" si="23"/>
        <v>74265734.248912394</v>
      </c>
      <c r="J89" s="87"/>
      <c r="K89" s="87"/>
      <c r="L89" s="87"/>
    </row>
    <row r="90" spans="1:12">
      <c r="A90" s="87"/>
      <c r="B90" s="115"/>
      <c r="C90" s="115"/>
      <c r="D90" s="115"/>
      <c r="E90" s="87"/>
      <c r="F90" s="87">
        <v>2028</v>
      </c>
      <c r="G90" s="115">
        <f t="shared" si="21"/>
        <v>1856643356.2228098</v>
      </c>
      <c r="H90" s="115">
        <f t="shared" si="22"/>
        <v>74265734.248912394</v>
      </c>
      <c r="I90" s="115">
        <f t="shared" si="23"/>
        <v>74265734.248912394</v>
      </c>
      <c r="J90" s="87"/>
      <c r="K90" s="87"/>
      <c r="L90" s="87"/>
    </row>
    <row r="91" spans="1:12">
      <c r="A91" s="87"/>
      <c r="B91" s="115"/>
      <c r="C91" s="115"/>
      <c r="D91" s="115"/>
      <c r="E91" s="87"/>
      <c r="F91" s="87">
        <v>2029</v>
      </c>
      <c r="G91" s="115">
        <f>G90-(H90-I90)</f>
        <v>1856643356.2228098</v>
      </c>
      <c r="H91" s="115">
        <f t="shared" si="22"/>
        <v>74265734.248912394</v>
      </c>
      <c r="I91" s="115">
        <f t="shared" si="23"/>
        <v>74265734.248912394</v>
      </c>
      <c r="J91" s="87"/>
      <c r="K91" s="87"/>
      <c r="L91" s="87"/>
    </row>
    <row r="92" spans="1:12">
      <c r="A92" s="237" t="s">
        <v>230</v>
      </c>
      <c r="B92" s="237"/>
      <c r="C92" s="237"/>
      <c r="D92" s="237"/>
      <c r="E92" s="87"/>
      <c r="F92" s="87">
        <v>2030</v>
      </c>
      <c r="G92" s="115">
        <f>G91-(H91-I91)</f>
        <v>1856643356.2228098</v>
      </c>
      <c r="H92" s="115">
        <f t="shared" si="22"/>
        <v>74265734.248912394</v>
      </c>
      <c r="I92" s="115">
        <f t="shared" si="23"/>
        <v>74265734.248912394</v>
      </c>
      <c r="J92" s="87"/>
      <c r="K92" s="87"/>
      <c r="L92" s="87"/>
    </row>
    <row r="93" spans="1:12">
      <c r="A93" s="87"/>
      <c r="B93" s="87" t="s">
        <v>96</v>
      </c>
      <c r="C93" s="87" t="s">
        <v>121</v>
      </c>
      <c r="D93" s="87"/>
      <c r="E93" s="87"/>
      <c r="F93" s="87">
        <v>2031</v>
      </c>
      <c r="G93" s="115">
        <f>G92-(H92-I92)</f>
        <v>1856643356.2228098</v>
      </c>
      <c r="H93" s="115"/>
      <c r="I93" s="115"/>
      <c r="J93" s="87"/>
      <c r="K93" s="87"/>
      <c r="L93" s="87"/>
    </row>
    <row r="94" spans="1:12">
      <c r="A94" s="87" t="s">
        <v>113</v>
      </c>
      <c r="B94" s="115">
        <f>SUM(G84,G93,G101,G107)</f>
        <v>4709385692.8728476</v>
      </c>
      <c r="C94" s="115">
        <f>C106</f>
        <v>235601681.38916898</v>
      </c>
      <c r="D94" s="115" t="s">
        <v>120</v>
      </c>
      <c r="E94" s="87"/>
      <c r="F94" s="87"/>
      <c r="G94" s="87"/>
      <c r="H94" s="87"/>
      <c r="I94" s="87"/>
      <c r="J94" s="87"/>
      <c r="K94" s="87"/>
      <c r="L94" s="87"/>
    </row>
    <row r="95" spans="1:12">
      <c r="A95" s="87" t="s">
        <v>113</v>
      </c>
      <c r="B95" s="115">
        <f>SUM(G84,G93,G101,G107)</f>
        <v>4709385692.8728476</v>
      </c>
      <c r="C95" s="115">
        <v>252297570.81999999</v>
      </c>
      <c r="D95" s="115" t="s">
        <v>119</v>
      </c>
      <c r="E95" s="87"/>
      <c r="F95" s="87"/>
      <c r="G95" s="115"/>
      <c r="H95" s="87"/>
      <c r="I95" s="115"/>
      <c r="J95" s="87"/>
      <c r="K95" s="87"/>
      <c r="L95" s="87"/>
    </row>
    <row r="96" spans="1:12">
      <c r="A96" s="87"/>
      <c r="B96" s="115"/>
      <c r="C96" s="115"/>
      <c r="D96" s="115"/>
      <c r="E96" s="87"/>
      <c r="F96" s="87"/>
      <c r="G96" s="87"/>
      <c r="H96" s="87"/>
      <c r="I96" s="115"/>
      <c r="J96" s="87"/>
      <c r="K96" s="237" t="s">
        <v>138</v>
      </c>
      <c r="L96" s="237"/>
    </row>
    <row r="97" spans="1:12">
      <c r="A97" s="87"/>
      <c r="B97" s="115"/>
      <c r="C97" s="115"/>
      <c r="D97" s="115"/>
      <c r="E97" s="87"/>
      <c r="F97" s="87" t="s">
        <v>6</v>
      </c>
      <c r="G97" s="87" t="s">
        <v>198</v>
      </c>
      <c r="H97" s="87" t="s">
        <v>111</v>
      </c>
      <c r="I97" s="115" t="s">
        <v>112</v>
      </c>
      <c r="J97" s="87"/>
      <c r="K97" s="66">
        <v>0.04</v>
      </c>
      <c r="L97" s="87" t="s">
        <v>132</v>
      </c>
    </row>
    <row r="98" spans="1:12">
      <c r="A98" s="87"/>
      <c r="B98" s="115"/>
      <c r="C98" s="115"/>
      <c r="D98" s="115"/>
      <c r="E98" s="87"/>
      <c r="F98" s="87">
        <v>2028</v>
      </c>
      <c r="G98" s="115">
        <f>K100</f>
        <v>0</v>
      </c>
      <c r="H98" s="115">
        <f>I98</f>
        <v>0</v>
      </c>
      <c r="I98" s="115">
        <f>G98*$K$25</f>
        <v>0</v>
      </c>
      <c r="J98" s="87"/>
      <c r="K98" s="87">
        <v>2</v>
      </c>
      <c r="L98" s="87" t="s">
        <v>133</v>
      </c>
    </row>
    <row r="99" spans="1:12">
      <c r="A99" s="87"/>
      <c r="B99" s="115"/>
      <c r="C99" s="115"/>
      <c r="D99" s="115"/>
      <c r="E99" s="87"/>
      <c r="F99" s="87">
        <v>2029</v>
      </c>
      <c r="G99" s="115">
        <f t="shared" ref="G99:G101" si="24">G98-(H98-I98)</f>
        <v>0</v>
      </c>
      <c r="H99" s="115">
        <f t="shared" ref="H99:H100" si="25">I99</f>
        <v>0</v>
      </c>
      <c r="I99" s="115">
        <f t="shared" ref="I99:I100" si="26">G99*$K$25</f>
        <v>0</v>
      </c>
      <c r="J99" s="87"/>
      <c r="K99" s="87">
        <v>30</v>
      </c>
      <c r="L99" s="87" t="s">
        <v>134</v>
      </c>
    </row>
    <row r="100" spans="1:12">
      <c r="A100" s="87"/>
      <c r="B100" s="115"/>
      <c r="C100" s="115"/>
      <c r="D100" s="115"/>
      <c r="E100" s="87"/>
      <c r="F100" s="87">
        <v>2030</v>
      </c>
      <c r="G100" s="115">
        <f t="shared" si="24"/>
        <v>0</v>
      </c>
      <c r="H100" s="115">
        <f t="shared" si="25"/>
        <v>0</v>
      </c>
      <c r="I100" s="115">
        <f t="shared" si="26"/>
        <v>0</v>
      </c>
      <c r="J100" s="87"/>
      <c r="K100" s="115">
        <f>B81</f>
        <v>0</v>
      </c>
      <c r="L100" s="87" t="s">
        <v>136</v>
      </c>
    </row>
    <row r="101" spans="1:12">
      <c r="A101" s="87"/>
      <c r="B101" s="115"/>
      <c r="C101" s="237" t="s">
        <v>139</v>
      </c>
      <c r="D101" s="237"/>
      <c r="E101" s="87"/>
      <c r="F101" s="87">
        <v>2031</v>
      </c>
      <c r="G101" s="115">
        <f t="shared" si="24"/>
        <v>0</v>
      </c>
      <c r="H101" s="115"/>
      <c r="I101" s="115"/>
      <c r="J101" s="87"/>
      <c r="K101" s="20">
        <f>((((1+K97)^(1/K98)-1)/(1-(1+((1+K97)^(1/K98)-1))^-(K99*K98)))*K100)*K98</f>
        <v>0</v>
      </c>
      <c r="L101" s="87" t="s">
        <v>135</v>
      </c>
    </row>
    <row r="102" spans="1:12">
      <c r="A102" s="87"/>
      <c r="B102" s="115"/>
      <c r="C102" s="66">
        <v>0.04</v>
      </c>
      <c r="D102" s="87" t="s">
        <v>132</v>
      </c>
      <c r="E102" s="87"/>
      <c r="F102" s="87"/>
      <c r="G102" s="115"/>
      <c r="H102" s="115"/>
      <c r="I102" s="115"/>
      <c r="J102" s="87"/>
      <c r="K102" s="87"/>
      <c r="L102" s="87"/>
    </row>
    <row r="103" spans="1:12">
      <c r="A103" s="87"/>
      <c r="B103" s="115"/>
      <c r="C103" s="87">
        <v>2</v>
      </c>
      <c r="D103" s="87" t="s">
        <v>133</v>
      </c>
      <c r="E103" s="87"/>
      <c r="F103" s="87"/>
      <c r="G103" s="87"/>
      <c r="H103" s="87"/>
      <c r="I103" s="115"/>
      <c r="J103" s="87"/>
      <c r="K103" s="87"/>
      <c r="L103" s="87"/>
    </row>
    <row r="104" spans="1:12">
      <c r="A104" s="87"/>
      <c r="B104" s="115"/>
      <c r="C104" s="87">
        <v>40</v>
      </c>
      <c r="D104" s="87" t="s">
        <v>134</v>
      </c>
      <c r="E104" s="87"/>
      <c r="F104" s="87"/>
      <c r="G104" s="115"/>
      <c r="H104" s="115"/>
      <c r="I104" s="115"/>
      <c r="J104" s="87"/>
      <c r="K104" s="87"/>
      <c r="L104" s="87"/>
    </row>
    <row r="105" spans="1:12">
      <c r="A105" s="87"/>
      <c r="B105" s="115"/>
      <c r="C105" s="115">
        <f>B94</f>
        <v>4709385692.8728476</v>
      </c>
      <c r="D105" s="87" t="s">
        <v>136</v>
      </c>
      <c r="E105" s="87"/>
      <c r="F105" s="87"/>
      <c r="G105" s="115"/>
      <c r="H105" s="115"/>
      <c r="I105" s="115"/>
      <c r="J105" s="87"/>
      <c r="K105" s="237"/>
      <c r="L105" s="237"/>
    </row>
    <row r="106" spans="1:12">
      <c r="A106" s="87"/>
      <c r="B106" s="115"/>
      <c r="C106" s="20">
        <f>((((1+C102)^(1/C103)-1)/(1-(1+((1+C102)^(1/C103)-1))^-(C104*C103)))*C105)*C103</f>
        <v>235601681.38916898</v>
      </c>
      <c r="D106" s="87" t="s">
        <v>135</v>
      </c>
      <c r="E106" s="87"/>
      <c r="F106" s="87"/>
      <c r="G106" s="115"/>
      <c r="H106" s="115"/>
      <c r="I106" s="115"/>
      <c r="J106" s="87"/>
      <c r="K106" s="66"/>
      <c r="L106" s="87"/>
    </row>
    <row r="107" spans="1:12">
      <c r="A107" s="87"/>
      <c r="B107" s="115"/>
      <c r="C107" s="115"/>
      <c r="D107" s="115"/>
      <c r="E107" s="87"/>
      <c r="F107" s="87"/>
      <c r="G107" s="115"/>
      <c r="H107" s="115"/>
      <c r="I107" s="115"/>
      <c r="J107" s="87"/>
      <c r="K107" s="87"/>
      <c r="L107" s="87"/>
    </row>
  </sheetData>
  <mergeCells count="27">
    <mergeCell ref="K1:L1"/>
    <mergeCell ref="K11:L11"/>
    <mergeCell ref="C29:D29"/>
    <mergeCell ref="K24:L24"/>
    <mergeCell ref="K33:L33"/>
    <mergeCell ref="D6:D8"/>
    <mergeCell ref="A20:D20"/>
    <mergeCell ref="D3:D5"/>
    <mergeCell ref="A1:D1"/>
    <mergeCell ref="A37:D37"/>
    <mergeCell ref="K37:L37"/>
    <mergeCell ref="D39:D41"/>
    <mergeCell ref="D42:D44"/>
    <mergeCell ref="K47:L47"/>
    <mergeCell ref="A56:D56"/>
    <mergeCell ref="K60:L60"/>
    <mergeCell ref="C65:D65"/>
    <mergeCell ref="K69:L69"/>
    <mergeCell ref="A73:D73"/>
    <mergeCell ref="K73:L73"/>
    <mergeCell ref="C101:D101"/>
    <mergeCell ref="K105:L105"/>
    <mergeCell ref="D75:D77"/>
    <mergeCell ref="D78:D80"/>
    <mergeCell ref="K83:L83"/>
    <mergeCell ref="A92:D92"/>
    <mergeCell ref="K96:L9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4"/>
  <sheetViews>
    <sheetView topLeftCell="D1" workbookViewId="0">
      <selection activeCell="K1" sqref="K1"/>
    </sheetView>
  </sheetViews>
  <sheetFormatPr defaultRowHeight="15"/>
  <cols>
    <col min="1" max="1" width="30" style="1" customWidth="1"/>
    <col min="2" max="2" width="15.7109375" style="2" bestFit="1" customWidth="1"/>
    <col min="3" max="3" width="14.7109375" style="1" bestFit="1" customWidth="1"/>
    <col min="4" max="4" width="13.140625" style="1" bestFit="1" customWidth="1"/>
    <col min="5" max="5" width="9.140625" style="1"/>
    <col min="6" max="8" width="12" style="1" bestFit="1" customWidth="1"/>
    <col min="9" max="17" width="13.140625" style="1" bestFit="1" customWidth="1"/>
    <col min="18" max="31" width="9.140625" style="1"/>
  </cols>
  <sheetData>
    <row r="2" spans="1:18" ht="30">
      <c r="A2" s="1" t="s">
        <v>2</v>
      </c>
      <c r="B2" s="2">
        <v>1661700000</v>
      </c>
    </row>
    <row r="3" spans="1:18" ht="30">
      <c r="A3" s="1" t="s">
        <v>1</v>
      </c>
      <c r="B3" s="2">
        <v>1388000000</v>
      </c>
    </row>
    <row r="4" spans="1:18">
      <c r="A4" s="1" t="s">
        <v>0</v>
      </c>
      <c r="B4" s="2">
        <f>933300000</f>
        <v>933300000</v>
      </c>
    </row>
    <row r="6" spans="1:18" ht="17.25">
      <c r="A6" s="1" t="s">
        <v>122</v>
      </c>
      <c r="B6" s="2">
        <f>916620000</f>
        <v>916620000</v>
      </c>
      <c r="C6" s="2">
        <f>B6</f>
        <v>916620000</v>
      </c>
    </row>
    <row r="8" spans="1:18">
      <c r="A8" s="1" t="s">
        <v>3</v>
      </c>
    </row>
    <row r="9" spans="1:18">
      <c r="D9" s="237" t="s">
        <v>210</v>
      </c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</row>
    <row r="10" spans="1:18">
      <c r="D10" s="1" t="s">
        <v>187</v>
      </c>
      <c r="F10" s="1">
        <v>2019</v>
      </c>
      <c r="G10" s="1">
        <v>2020</v>
      </c>
      <c r="H10" s="1">
        <v>2021</v>
      </c>
      <c r="I10" s="1">
        <v>2022</v>
      </c>
      <c r="J10" s="1">
        <v>2023</v>
      </c>
      <c r="K10" s="74">
        <v>2024</v>
      </c>
      <c r="L10" s="74">
        <v>2025</v>
      </c>
      <c r="M10" s="74">
        <v>2026</v>
      </c>
      <c r="N10" s="74">
        <v>2027</v>
      </c>
      <c r="O10" s="74">
        <v>2028</v>
      </c>
      <c r="P10" s="74">
        <v>2029</v>
      </c>
      <c r="Q10" s="74">
        <v>2030</v>
      </c>
    </row>
    <row r="11" spans="1:18">
      <c r="A11" s="1" t="s">
        <v>65</v>
      </c>
      <c r="B11" s="2">
        <v>45925500</v>
      </c>
      <c r="D11" s="2">
        <f>SUM(F11:Q11)</f>
        <v>45925500</v>
      </c>
      <c r="F11" s="2">
        <f>$B$11*0.25</f>
        <v>11481375</v>
      </c>
      <c r="G11" s="2">
        <f t="shared" ref="G11:I11" si="0">$B$11*0.25</f>
        <v>11481375</v>
      </c>
      <c r="H11" s="2">
        <f t="shared" si="0"/>
        <v>11481375</v>
      </c>
      <c r="I11" s="2">
        <f t="shared" si="0"/>
        <v>11481375</v>
      </c>
      <c r="J11" s="2">
        <v>0</v>
      </c>
      <c r="K11" s="2"/>
      <c r="L11" s="2"/>
      <c r="M11" s="2"/>
      <c r="N11" s="2"/>
      <c r="O11" s="2"/>
      <c r="P11" s="2"/>
      <c r="Q11" s="2"/>
      <c r="R11" s="2"/>
    </row>
    <row r="12" spans="1:18">
      <c r="D12" s="2">
        <f t="shared" ref="D12:D13" si="1">SUM(F12:Q12)</f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>
      <c r="A13" s="1" t="s">
        <v>77</v>
      </c>
      <c r="B13" s="2">
        <f>B6-B11</f>
        <v>870694500</v>
      </c>
      <c r="D13" s="2">
        <f t="shared" si="1"/>
        <v>870694500</v>
      </c>
      <c r="F13" s="2">
        <v>0</v>
      </c>
      <c r="G13" s="2">
        <v>0</v>
      </c>
      <c r="H13" s="2">
        <v>0</v>
      </c>
      <c r="I13" s="2">
        <v>0</v>
      </c>
      <c r="J13" s="2">
        <f>$B$13*0.13</f>
        <v>113190285</v>
      </c>
      <c r="K13" s="2">
        <f>$B$13*0.12</f>
        <v>104483340</v>
      </c>
      <c r="L13" s="2">
        <f>$B$13*0.15</f>
        <v>130604175</v>
      </c>
      <c r="M13" s="2">
        <f>$B$13*0.15</f>
        <v>130604175</v>
      </c>
      <c r="N13" s="2">
        <f>$B$13*0.15</f>
        <v>130604175</v>
      </c>
      <c r="O13" s="2">
        <f>$B$13*0.15</f>
        <v>130604175</v>
      </c>
      <c r="P13" s="2">
        <f>$B$13*0.15</f>
        <v>130604175</v>
      </c>
      <c r="Q13" s="2"/>
      <c r="R13" s="2"/>
    </row>
    <row r="14" spans="1:18"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8" spans="1:31" ht="60">
      <c r="A18" s="1" t="s">
        <v>123</v>
      </c>
    </row>
    <row r="21" spans="1:31">
      <c r="D21" s="237" t="s">
        <v>211</v>
      </c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</row>
    <row r="22" spans="1:31">
      <c r="A22" s="87"/>
      <c r="B22" s="115"/>
      <c r="C22" s="87"/>
      <c r="D22" s="87" t="s">
        <v>187</v>
      </c>
      <c r="E22" s="87"/>
      <c r="F22" s="87">
        <v>2019</v>
      </c>
      <c r="G22" s="87">
        <v>2020</v>
      </c>
      <c r="H22" s="87">
        <v>2021</v>
      </c>
      <c r="I22" s="87">
        <v>2022</v>
      </c>
      <c r="J22" s="87">
        <v>2023</v>
      </c>
      <c r="K22" s="87">
        <v>2024</v>
      </c>
      <c r="L22" s="87">
        <v>2025</v>
      </c>
      <c r="M22" s="87">
        <v>2026</v>
      </c>
      <c r="N22" s="87">
        <v>2027</v>
      </c>
      <c r="O22" s="87">
        <v>2028</v>
      </c>
      <c r="P22" s="87">
        <v>2029</v>
      </c>
      <c r="Q22" s="87">
        <v>2030</v>
      </c>
    </row>
    <row r="23" spans="1:31">
      <c r="A23" s="87" t="s">
        <v>65</v>
      </c>
      <c r="B23" s="115">
        <v>45925500</v>
      </c>
      <c r="C23" s="87"/>
      <c r="D23" s="115">
        <f>SUM(F23:Q23)</f>
        <v>45925500</v>
      </c>
      <c r="E23" s="87"/>
      <c r="F23" s="115">
        <f>$B$11*0.15</f>
        <v>6888825</v>
      </c>
      <c r="G23" s="115">
        <f t="shared" ref="G23:I23" si="2">$B$11*0.25</f>
        <v>11481375</v>
      </c>
      <c r="H23" s="115">
        <f t="shared" si="2"/>
        <v>11481375</v>
      </c>
      <c r="I23" s="115">
        <f t="shared" si="2"/>
        <v>11481375</v>
      </c>
      <c r="J23" s="115">
        <f>$B$11*0.1</f>
        <v>4592550</v>
      </c>
      <c r="K23" s="115"/>
      <c r="L23" s="115"/>
      <c r="M23" s="115"/>
      <c r="N23" s="115"/>
      <c r="O23" s="115"/>
      <c r="P23" s="115"/>
      <c r="Q23" s="115"/>
    </row>
    <row r="24" spans="1:31">
      <c r="A24" s="87"/>
      <c r="B24" s="115"/>
      <c r="C24" s="87"/>
      <c r="D24" s="115">
        <f t="shared" ref="D24:D25" si="3">SUM(F24:Q24)</f>
        <v>0</v>
      </c>
      <c r="E24" s="87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1:31" ht="15" customHeight="1">
      <c r="A25" s="87" t="s">
        <v>77</v>
      </c>
      <c r="B25" s="115">
        <f>B6-B23</f>
        <v>870694500</v>
      </c>
      <c r="C25" s="87"/>
      <c r="D25" s="115">
        <f t="shared" si="3"/>
        <v>870694500</v>
      </c>
      <c r="E25" s="87"/>
      <c r="F25" s="115">
        <v>0</v>
      </c>
      <c r="G25" s="115">
        <v>0</v>
      </c>
      <c r="H25" s="115">
        <v>0</v>
      </c>
      <c r="I25" s="115">
        <v>0</v>
      </c>
      <c r="J25" s="115">
        <f>$B$13*0.05</f>
        <v>43534725</v>
      </c>
      <c r="K25" s="115">
        <f>$B$13*0.12</f>
        <v>104483340</v>
      </c>
      <c r="L25" s="115">
        <f>$B$13*0.13</f>
        <v>113190285</v>
      </c>
      <c r="M25" s="115">
        <f>$B$13*0.15</f>
        <v>130604175</v>
      </c>
      <c r="N25" s="115">
        <f>$B$13*0.15</f>
        <v>130604175</v>
      </c>
      <c r="O25" s="115">
        <f>$B$13*0.15</f>
        <v>130604175</v>
      </c>
      <c r="P25" s="115">
        <f>$B$13*0.15</f>
        <v>130604175</v>
      </c>
      <c r="Q25" s="115">
        <f>$B$13*0.1</f>
        <v>87069450</v>
      </c>
    </row>
    <row r="26" spans="1:31" ht="15" customHeight="1">
      <c r="A26" s="87" t="s">
        <v>61</v>
      </c>
      <c r="B26" s="115"/>
      <c r="C26" s="87"/>
      <c r="D26" s="115"/>
      <c r="E26" s="87"/>
      <c r="F26" s="115">
        <f>F23+F25</f>
        <v>6888825</v>
      </c>
      <c r="G26" s="115">
        <f t="shared" ref="G26:Q26" si="4">G23+G25</f>
        <v>11481375</v>
      </c>
      <c r="H26" s="115">
        <f t="shared" si="4"/>
        <v>11481375</v>
      </c>
      <c r="I26" s="115">
        <f t="shared" si="4"/>
        <v>11481375</v>
      </c>
      <c r="J26" s="115">
        <f t="shared" si="4"/>
        <v>48127275</v>
      </c>
      <c r="K26" s="115">
        <f t="shared" si="4"/>
        <v>104483340</v>
      </c>
      <c r="L26" s="115">
        <f t="shared" si="4"/>
        <v>113190285</v>
      </c>
      <c r="M26" s="115">
        <f t="shared" si="4"/>
        <v>130604175</v>
      </c>
      <c r="N26" s="115">
        <f t="shared" si="4"/>
        <v>130604175</v>
      </c>
      <c r="O26" s="115">
        <f t="shared" si="4"/>
        <v>130604175</v>
      </c>
      <c r="P26" s="115">
        <f t="shared" si="4"/>
        <v>130604175</v>
      </c>
      <c r="Q26" s="115">
        <f t="shared" si="4"/>
        <v>87069450</v>
      </c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</row>
    <row r="27" spans="1:31" ht="15" customHeight="1">
      <c r="A27" s="87"/>
      <c r="B27" s="115"/>
      <c r="C27" s="87"/>
      <c r="D27" s="115"/>
      <c r="E27" s="87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</row>
    <row r="29" spans="1:31">
      <c r="A29" s="87"/>
      <c r="B29" s="115"/>
      <c r="C29" s="87"/>
      <c r="D29" s="237" t="s">
        <v>212</v>
      </c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</row>
    <row r="30" spans="1:31">
      <c r="A30" s="87"/>
      <c r="B30" s="115"/>
      <c r="C30" s="87"/>
      <c r="D30" s="87" t="s">
        <v>187</v>
      </c>
      <c r="E30" s="87"/>
      <c r="F30" s="87">
        <v>2019</v>
      </c>
      <c r="G30" s="87">
        <v>2020</v>
      </c>
      <c r="H30" s="87">
        <v>2021</v>
      </c>
      <c r="I30" s="87">
        <v>2022</v>
      </c>
      <c r="J30" s="87">
        <v>2023</v>
      </c>
      <c r="K30" s="87">
        <v>2024</v>
      </c>
      <c r="L30" s="87">
        <v>2025</v>
      </c>
      <c r="M30" s="87">
        <v>2026</v>
      </c>
      <c r="N30" s="87">
        <v>2027</v>
      </c>
      <c r="O30" s="87">
        <v>2028</v>
      </c>
      <c r="P30" s="87">
        <v>2029</v>
      </c>
      <c r="Q30" s="87">
        <v>2030</v>
      </c>
    </row>
    <row r="31" spans="1:31">
      <c r="A31" s="87" t="s">
        <v>65</v>
      </c>
      <c r="B31" s="115">
        <v>45925500</v>
      </c>
      <c r="C31" s="87"/>
      <c r="D31" s="115">
        <f>SUM(F31:Q31)</f>
        <v>45925500</v>
      </c>
      <c r="E31" s="87"/>
      <c r="F31" s="115">
        <f>$B$11*0.25</f>
        <v>11481375</v>
      </c>
      <c r="G31" s="115">
        <f>$B$11*0.35</f>
        <v>16073924.999999998</v>
      </c>
      <c r="H31" s="115">
        <f>$B$11*0.4</f>
        <v>18370200</v>
      </c>
      <c r="I31" s="115">
        <v>0</v>
      </c>
      <c r="J31" s="115">
        <v>0</v>
      </c>
      <c r="K31" s="115"/>
      <c r="L31" s="115"/>
      <c r="M31" s="115"/>
      <c r="N31" s="115"/>
      <c r="O31" s="115"/>
      <c r="P31" s="115"/>
      <c r="Q31" s="115"/>
    </row>
    <row r="32" spans="1:31">
      <c r="A32" s="87"/>
      <c r="B32" s="115"/>
      <c r="C32" s="87"/>
      <c r="D32" s="115">
        <f t="shared" ref="D32:D33" si="5">SUM(F32:Q32)</f>
        <v>0</v>
      </c>
      <c r="E32" s="87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31">
      <c r="A33" s="87" t="s">
        <v>77</v>
      </c>
      <c r="B33" s="115">
        <f>B6-B31</f>
        <v>870694500</v>
      </c>
      <c r="C33" s="87"/>
      <c r="D33" s="115">
        <f t="shared" si="5"/>
        <v>870694500</v>
      </c>
      <c r="E33" s="87"/>
      <c r="F33" s="115">
        <v>0</v>
      </c>
      <c r="G33" s="115">
        <v>0</v>
      </c>
      <c r="H33" s="115">
        <v>0</v>
      </c>
      <c r="I33" s="115">
        <f>$B$13*0.17</f>
        <v>148018065</v>
      </c>
      <c r="J33" s="115">
        <f>$B$13*0.16</f>
        <v>139311120</v>
      </c>
      <c r="K33" s="115">
        <f>$B$13*0.17</f>
        <v>148018065</v>
      </c>
      <c r="L33" s="115">
        <f>$B$13*0.17</f>
        <v>148018065</v>
      </c>
      <c r="M33" s="115">
        <f>$B$13*0.17</f>
        <v>148018065</v>
      </c>
      <c r="N33" s="115">
        <f>$B$13*0.16</f>
        <v>139311120</v>
      </c>
      <c r="O33" s="115">
        <v>0</v>
      </c>
      <c r="P33" s="115">
        <v>0</v>
      </c>
      <c r="Q33" s="115"/>
    </row>
    <row r="34" spans="1:31" ht="15" customHeight="1">
      <c r="A34" s="87" t="s">
        <v>61</v>
      </c>
      <c r="B34" s="115"/>
      <c r="C34" s="87"/>
      <c r="D34" s="115"/>
      <c r="E34" s="87"/>
      <c r="F34" s="115">
        <f>F31+F33</f>
        <v>11481375</v>
      </c>
      <c r="G34" s="115">
        <f t="shared" ref="G34" si="6">G31+G33</f>
        <v>16073924.999999998</v>
      </c>
      <c r="H34" s="115">
        <f t="shared" ref="H34" si="7">H31+H33</f>
        <v>18370200</v>
      </c>
      <c r="I34" s="115">
        <f t="shared" ref="I34" si="8">I31+I33</f>
        <v>148018065</v>
      </c>
      <c r="J34" s="115">
        <f t="shared" ref="J34" si="9">J31+J33</f>
        <v>139311120</v>
      </c>
      <c r="K34" s="115">
        <f t="shared" ref="K34" si="10">K31+K33</f>
        <v>148018065</v>
      </c>
      <c r="L34" s="115">
        <f t="shared" ref="L34" si="11">L31+L33</f>
        <v>148018065</v>
      </c>
      <c r="M34" s="115">
        <f t="shared" ref="M34" si="12">M31+M33</f>
        <v>148018065</v>
      </c>
      <c r="N34" s="115">
        <f t="shared" ref="N34" si="13">N31+N33</f>
        <v>139311120</v>
      </c>
      <c r="O34" s="115">
        <f t="shared" ref="O34" si="14">O31+O33</f>
        <v>0</v>
      </c>
      <c r="P34" s="115">
        <f t="shared" ref="P34" si="15">P31+P33</f>
        <v>0</v>
      </c>
      <c r="Q34" s="115">
        <f t="shared" ref="Q34" si="16">Q31+Q33</f>
        <v>0</v>
      </c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</row>
  </sheetData>
  <mergeCells count="3">
    <mergeCell ref="D9:Q9"/>
    <mergeCell ref="D21:Q21"/>
    <mergeCell ref="D29:Q2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6"/>
  <sheetViews>
    <sheetView workbookViewId="0">
      <selection activeCell="C23" sqref="C23"/>
    </sheetView>
  </sheetViews>
  <sheetFormatPr defaultRowHeight="15"/>
  <cols>
    <col min="1" max="1" width="27.42578125" style="15" customWidth="1"/>
    <col min="2" max="3" width="9.140625" style="15"/>
    <col min="4" max="4" width="13.140625" style="15" bestFit="1" customWidth="1"/>
    <col min="5" max="5" width="9.140625" style="15"/>
    <col min="6" max="7" width="15.7109375" style="15" bestFit="1" customWidth="1"/>
    <col min="8" max="10" width="13.140625" style="15" bestFit="1" customWidth="1"/>
    <col min="11" max="29" width="9.140625" style="15"/>
  </cols>
  <sheetData>
    <row r="2" spans="1:18" ht="15" customHeight="1">
      <c r="A2" s="20">
        <v>500000000</v>
      </c>
      <c r="B2" s="265" t="s">
        <v>94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</row>
    <row r="3" spans="1:18">
      <c r="A3" s="46"/>
      <c r="B3" s="266" t="s">
        <v>78</v>
      </c>
      <c r="C3" s="266"/>
      <c r="D3" s="266"/>
      <c r="E3" s="266"/>
      <c r="F3" s="266"/>
      <c r="G3" s="266"/>
      <c r="H3" s="266"/>
    </row>
    <row r="4" spans="1:18">
      <c r="A4" s="20"/>
      <c r="B4" s="237" t="s">
        <v>79</v>
      </c>
      <c r="C4" s="237"/>
      <c r="D4" s="237"/>
      <c r="E4" s="237"/>
      <c r="F4" s="237"/>
      <c r="G4" s="237"/>
      <c r="H4" s="237"/>
    </row>
    <row r="5" spans="1:18">
      <c r="A5" s="20"/>
      <c r="B5" s="237" t="s">
        <v>80</v>
      </c>
      <c r="C5" s="237"/>
      <c r="D5" s="237"/>
      <c r="E5" s="237"/>
      <c r="F5" s="237"/>
      <c r="G5" s="237"/>
      <c r="H5" s="237"/>
    </row>
    <row r="6" spans="1:18">
      <c r="A6" s="20"/>
      <c r="B6" s="237" t="s">
        <v>81</v>
      </c>
      <c r="C6" s="237"/>
      <c r="D6" s="237"/>
      <c r="E6" s="237"/>
      <c r="F6" s="237"/>
      <c r="G6" s="237"/>
      <c r="H6" s="237"/>
    </row>
    <row r="7" spans="1:18">
      <c r="A7" s="20"/>
      <c r="B7" s="237" t="s">
        <v>82</v>
      </c>
      <c r="C7" s="237"/>
      <c r="D7" s="237"/>
      <c r="E7" s="237"/>
      <c r="F7" s="237"/>
      <c r="G7" s="237"/>
      <c r="H7" s="237"/>
    </row>
    <row r="8" spans="1:18">
      <c r="A8" s="20"/>
      <c r="B8" s="237" t="s">
        <v>83</v>
      </c>
      <c r="C8" s="237"/>
      <c r="D8" s="237"/>
      <c r="E8" s="237"/>
      <c r="F8" s="237"/>
      <c r="G8" s="237"/>
      <c r="H8" s="237"/>
    </row>
    <row r="9" spans="1:18">
      <c r="A9" s="39">
        <v>42852939.799999997</v>
      </c>
      <c r="B9" s="264" t="s">
        <v>95</v>
      </c>
      <c r="C9" s="264"/>
      <c r="D9" s="264"/>
      <c r="E9" s="264"/>
      <c r="F9" s="264"/>
      <c r="G9" s="264"/>
      <c r="H9" s="264"/>
    </row>
    <row r="14" spans="1:18">
      <c r="D14" s="237" t="s">
        <v>213</v>
      </c>
      <c r="E14" s="237"/>
      <c r="F14" s="237"/>
      <c r="G14" s="237"/>
      <c r="H14" s="237"/>
      <c r="I14" s="237"/>
      <c r="J14" s="237"/>
    </row>
    <row r="15" spans="1:18">
      <c r="D15" s="15" t="s">
        <v>187</v>
      </c>
      <c r="F15" s="15">
        <v>2022</v>
      </c>
      <c r="G15" s="15">
        <v>2023</v>
      </c>
      <c r="H15" s="15">
        <v>2024</v>
      </c>
      <c r="I15" s="15">
        <v>2025</v>
      </c>
      <c r="J15" s="15">
        <v>2026</v>
      </c>
    </row>
    <row r="16" spans="1:18">
      <c r="D16" s="2">
        <f>SUM(F16:J16)</f>
        <v>500000000</v>
      </c>
      <c r="F16" s="2">
        <f>A2*0.1</f>
        <v>50000000</v>
      </c>
      <c r="G16" s="2">
        <f>A2*0.25</f>
        <v>125000000</v>
      </c>
      <c r="H16" s="2">
        <f>A2*0.25</f>
        <v>125000000</v>
      </c>
      <c r="I16" s="2">
        <f>A2*0.25</f>
        <v>125000000</v>
      </c>
      <c r="J16" s="2">
        <f>A2*0.15</f>
        <v>75000000</v>
      </c>
    </row>
    <row r="19" spans="4:10">
      <c r="D19" s="237" t="s">
        <v>211</v>
      </c>
      <c r="E19" s="237"/>
      <c r="F19" s="237"/>
      <c r="G19" s="237"/>
      <c r="H19" s="237"/>
      <c r="I19" s="237"/>
      <c r="J19" s="237"/>
    </row>
    <row r="20" spans="4:10">
      <c r="D20" s="87" t="s">
        <v>187</v>
      </c>
      <c r="E20" s="87"/>
      <c r="F20" s="87">
        <v>2022</v>
      </c>
      <c r="G20" s="87">
        <v>2023</v>
      </c>
      <c r="H20" s="87">
        <v>2024</v>
      </c>
      <c r="I20" s="87">
        <v>2025</v>
      </c>
      <c r="J20" s="87">
        <v>2026</v>
      </c>
    </row>
    <row r="21" spans="4:10">
      <c r="D21" s="115">
        <f>SUM(F21:J21)</f>
        <v>500000000</v>
      </c>
      <c r="E21" s="87"/>
      <c r="F21" s="115">
        <v>0</v>
      </c>
      <c r="G21" s="115">
        <f>$A$2*0.2</f>
        <v>100000000</v>
      </c>
      <c r="H21" s="115">
        <f>$A$2*0.25</f>
        <v>125000000</v>
      </c>
      <c r="I21" s="115">
        <f>$A$2*0.25</f>
        <v>125000000</v>
      </c>
      <c r="J21" s="115">
        <f>$A$2*0.3</f>
        <v>150000000</v>
      </c>
    </row>
    <row r="24" spans="4:10">
      <c r="D24" s="237" t="s">
        <v>212</v>
      </c>
      <c r="E24" s="237"/>
      <c r="F24" s="237"/>
      <c r="G24" s="237"/>
      <c r="H24" s="237"/>
      <c r="I24" s="237"/>
      <c r="J24" s="237"/>
    </row>
    <row r="25" spans="4:10">
      <c r="D25" s="87" t="s">
        <v>187</v>
      </c>
      <c r="E25" s="87"/>
      <c r="F25" s="87">
        <v>2022</v>
      </c>
      <c r="G25" s="87">
        <v>2023</v>
      </c>
      <c r="H25" s="87">
        <v>2024</v>
      </c>
      <c r="I25" s="87">
        <v>2025</v>
      </c>
      <c r="J25" s="87">
        <v>2026</v>
      </c>
    </row>
    <row r="26" spans="4:10">
      <c r="D26" s="115">
        <f>SUM(F26:J26)</f>
        <v>500000000</v>
      </c>
      <c r="E26" s="87"/>
      <c r="F26" s="115">
        <f>$A$2*0.25</f>
        <v>125000000</v>
      </c>
      <c r="G26" s="115">
        <f t="shared" ref="G26:I26" si="0">$A$2*0.25</f>
        <v>125000000</v>
      </c>
      <c r="H26" s="115">
        <f t="shared" si="0"/>
        <v>125000000</v>
      </c>
      <c r="I26" s="115">
        <f t="shared" si="0"/>
        <v>125000000</v>
      </c>
      <c r="J26" s="115">
        <v>0</v>
      </c>
    </row>
  </sheetData>
  <mergeCells count="11">
    <mergeCell ref="B2:R2"/>
    <mergeCell ref="B3:H3"/>
    <mergeCell ref="B4:H4"/>
    <mergeCell ref="B5:H5"/>
    <mergeCell ref="B6:H6"/>
    <mergeCell ref="D14:J14"/>
    <mergeCell ref="D19:J19"/>
    <mergeCell ref="D24:J24"/>
    <mergeCell ref="B9:H9"/>
    <mergeCell ref="B7:H7"/>
    <mergeCell ref="B8:H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8"/>
  <sheetViews>
    <sheetView workbookViewId="0">
      <selection activeCell="A19" sqref="A19"/>
    </sheetView>
  </sheetViews>
  <sheetFormatPr defaultRowHeight="15"/>
  <cols>
    <col min="1" max="1" width="23.7109375" style="15" customWidth="1"/>
    <col min="2" max="28" width="9.140625" style="15"/>
  </cols>
  <sheetData>
    <row r="2" spans="1:16">
      <c r="A2" s="20">
        <v>335000000</v>
      </c>
      <c r="B2" s="265" t="s">
        <v>59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6" spans="1:16">
      <c r="A6" s="237" t="s">
        <v>62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</row>
    <row r="7" spans="1:16">
      <c r="A7" s="15" t="s">
        <v>60</v>
      </c>
      <c r="B7" s="15" t="s">
        <v>6</v>
      </c>
    </row>
    <row r="8" spans="1:16">
      <c r="A8" s="20">
        <v>20000000</v>
      </c>
      <c r="B8" s="15">
        <v>2017</v>
      </c>
    </row>
    <row r="9" spans="1:16">
      <c r="A9" s="20">
        <v>25000000</v>
      </c>
      <c r="B9" s="15">
        <v>2018</v>
      </c>
    </row>
    <row r="10" spans="1:16">
      <c r="A10" s="20">
        <v>35000000</v>
      </c>
      <c r="B10" s="15">
        <v>2019</v>
      </c>
    </row>
    <row r="11" spans="1:16">
      <c r="A11" s="20">
        <v>45000000</v>
      </c>
      <c r="B11" s="15">
        <v>2020</v>
      </c>
    </row>
    <row r="12" spans="1:16">
      <c r="A12" s="29">
        <v>50000000</v>
      </c>
      <c r="B12" s="30">
        <v>2021</v>
      </c>
    </row>
    <row r="13" spans="1:16">
      <c r="A13" s="20">
        <f>SUM(A8:A12)</f>
        <v>175000000</v>
      </c>
      <c r="B13" s="15" t="s">
        <v>61</v>
      </c>
    </row>
    <row r="18" spans="1:14">
      <c r="A18" s="237" t="s">
        <v>153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</row>
  </sheetData>
  <mergeCells count="3">
    <mergeCell ref="B2:N2"/>
    <mergeCell ref="A6:P6"/>
    <mergeCell ref="A18:N1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workbookViewId="0">
      <selection activeCell="L5" sqref="L5"/>
    </sheetView>
  </sheetViews>
  <sheetFormatPr defaultRowHeight="15"/>
  <cols>
    <col min="1" max="1" width="14.7109375" style="2" bestFit="1" customWidth="1"/>
    <col min="2" max="10" width="9.140625" style="14"/>
    <col min="11" max="11" width="17.42578125" style="14" bestFit="1" customWidth="1"/>
    <col min="12" max="12" width="17.28515625" style="14" customWidth="1"/>
    <col min="13" max="13" width="17.42578125" style="14" bestFit="1" customWidth="1"/>
    <col min="14" max="15" width="9.140625" style="14"/>
    <col min="16" max="16" width="14.85546875" style="14" bestFit="1" customWidth="1"/>
    <col min="17" max="17" width="13.85546875" style="14" bestFit="1" customWidth="1"/>
    <col min="18" max="18" width="11.5703125" style="14" bestFit="1" customWidth="1"/>
    <col min="19" max="36" width="9.140625" style="14"/>
  </cols>
  <sheetData>
    <row r="1" spans="1:17">
      <c r="K1" s="14" t="s">
        <v>88</v>
      </c>
      <c r="L1" s="14" t="s">
        <v>64</v>
      </c>
      <c r="M1" s="14" t="s">
        <v>89</v>
      </c>
    </row>
    <row r="2" spans="1:17">
      <c r="A2" s="2">
        <v>4333000000</v>
      </c>
      <c r="B2" s="265" t="s">
        <v>42</v>
      </c>
      <c r="C2" s="265"/>
      <c r="D2" s="265"/>
      <c r="E2" s="265"/>
      <c r="F2" s="265"/>
      <c r="G2" s="265"/>
      <c r="H2" s="265"/>
      <c r="I2" s="265"/>
      <c r="J2" s="265"/>
      <c r="K2" s="2">
        <f>A2*CPI!$S$93</f>
        <v>4838886255.4162788</v>
      </c>
      <c r="L2" s="2">
        <f>A2*CPI!$S$99</f>
        <v>5342048583.8568544</v>
      </c>
      <c r="M2" s="2">
        <f>A2*CPI!$S$102</f>
        <v>5593629748.0771427</v>
      </c>
    </row>
    <row r="3" spans="1:17">
      <c r="A3" s="2">
        <v>5130000000</v>
      </c>
      <c r="B3" s="265" t="s">
        <v>43</v>
      </c>
      <c r="C3" s="265"/>
      <c r="D3" s="265"/>
      <c r="E3" s="265"/>
      <c r="F3" s="265"/>
      <c r="G3" s="265"/>
      <c r="H3" s="265"/>
      <c r="I3" s="265"/>
      <c r="J3" s="265"/>
      <c r="K3" s="2">
        <f>A3*CPI!$S$93</f>
        <v>5728937569.8789549</v>
      </c>
      <c r="L3" s="2">
        <f>A3*CPI!$S$99</f>
        <v>6324650181.2106304</v>
      </c>
      <c r="M3" s="2">
        <f>A3*CPI!$S$102</f>
        <v>6622506486.8764696</v>
      </c>
    </row>
    <row r="4" spans="1:17">
      <c r="B4" s="265"/>
      <c r="C4" s="265"/>
      <c r="D4" s="265"/>
      <c r="E4" s="265"/>
      <c r="F4" s="265"/>
      <c r="G4" s="265"/>
      <c r="H4" s="265"/>
      <c r="I4" s="265"/>
      <c r="J4" s="265"/>
      <c r="K4" s="2"/>
      <c r="L4" s="2"/>
      <c r="M4" s="2"/>
    </row>
    <row r="5" spans="1:17">
      <c r="A5" s="22">
        <v>4829000000</v>
      </c>
      <c r="B5" s="267" t="s">
        <v>44</v>
      </c>
      <c r="C5" s="267"/>
      <c r="D5" s="267"/>
      <c r="E5" s="267"/>
      <c r="F5" s="267"/>
      <c r="G5" s="267"/>
      <c r="H5" s="267"/>
      <c r="I5" s="267"/>
      <c r="J5" s="267"/>
      <c r="K5" s="22">
        <f>A5*CPI!$S$93</f>
        <v>5392795229.0342054</v>
      </c>
      <c r="L5" s="22">
        <f>A5*CPI!$S$99</f>
        <v>5953554722.2351141</v>
      </c>
      <c r="M5" s="22">
        <f>A5*CPI!$S$102</f>
        <v>6233934468.8355694</v>
      </c>
    </row>
    <row r="6" spans="1:17">
      <c r="B6" s="265"/>
      <c r="C6" s="265"/>
      <c r="D6" s="265"/>
      <c r="E6" s="265"/>
      <c r="F6" s="265"/>
      <c r="G6" s="265"/>
      <c r="H6" s="265"/>
      <c r="I6" s="265"/>
      <c r="J6" s="265"/>
      <c r="K6" s="2"/>
      <c r="L6" s="2"/>
      <c r="M6" s="2"/>
    </row>
    <row r="7" spans="1:17">
      <c r="B7" s="265"/>
      <c r="C7" s="265"/>
      <c r="D7" s="265"/>
      <c r="E7" s="265"/>
      <c r="F7" s="265"/>
      <c r="G7" s="265"/>
      <c r="H7" s="265"/>
      <c r="I7" s="265"/>
      <c r="J7" s="265"/>
      <c r="K7" s="2"/>
      <c r="L7" s="2"/>
      <c r="M7" s="2"/>
    </row>
    <row r="8" spans="1:17">
      <c r="A8" s="2">
        <v>4697000000</v>
      </c>
      <c r="B8" s="265" t="s">
        <v>45</v>
      </c>
      <c r="C8" s="265"/>
      <c r="D8" s="265"/>
      <c r="E8" s="265"/>
      <c r="F8" s="265"/>
      <c r="G8" s="265"/>
      <c r="H8" s="265"/>
      <c r="I8" s="265"/>
      <c r="J8" s="265"/>
      <c r="K8" s="2">
        <f>A8*CPI!$S$93</f>
        <v>5245383969.9262085</v>
      </c>
      <c r="L8" s="2">
        <f>A8*CPI!$S$99</f>
        <v>5790815185.4086418</v>
      </c>
      <c r="M8" s="2">
        <f>A8*CPI!$S$102</f>
        <v>6063530793.1498594</v>
      </c>
    </row>
    <row r="9" spans="1:17">
      <c r="B9" s="265"/>
      <c r="C9" s="265"/>
      <c r="D9" s="265"/>
      <c r="E9" s="265"/>
      <c r="F9" s="265"/>
      <c r="G9" s="265"/>
      <c r="H9" s="265"/>
      <c r="I9" s="265"/>
      <c r="J9" s="265"/>
      <c r="K9" s="2"/>
      <c r="L9" s="2"/>
      <c r="M9" s="2"/>
    </row>
    <row r="10" spans="1:17">
      <c r="A10" s="41">
        <v>4420000000</v>
      </c>
      <c r="B10" s="268" t="s">
        <v>46</v>
      </c>
      <c r="C10" s="268"/>
      <c r="D10" s="268"/>
      <c r="E10" s="268"/>
      <c r="F10" s="268"/>
      <c r="G10" s="268"/>
      <c r="H10" s="268"/>
      <c r="I10" s="268"/>
      <c r="J10" s="268"/>
      <c r="K10" s="41">
        <f>A10*CPI!$S$93</f>
        <v>4936043676.1920042</v>
      </c>
      <c r="L10" s="41">
        <f>A10*CPI!$S$99</f>
        <v>5449308733.1288471</v>
      </c>
      <c r="M10" s="41">
        <f>A10*CPI!$S$102</f>
        <v>5705941261.59727</v>
      </c>
    </row>
    <row r="11" spans="1:17">
      <c r="A11" s="41">
        <v>5314000000</v>
      </c>
      <c r="B11" s="268" t="s">
        <v>47</v>
      </c>
      <c r="C11" s="268"/>
      <c r="D11" s="268"/>
      <c r="E11" s="268"/>
      <c r="F11" s="268"/>
      <c r="G11" s="268"/>
      <c r="H11" s="268"/>
      <c r="I11" s="268"/>
      <c r="J11" s="268"/>
      <c r="K11" s="41">
        <f>A11*CPI!$S$93</f>
        <v>5934419931.0597982</v>
      </c>
      <c r="L11" s="41">
        <f>A11*CPI!$S$99</f>
        <v>6551499232.5445013</v>
      </c>
      <c r="M11" s="41">
        <f>A11*CPI!$S$102</f>
        <v>6860038883.2868538</v>
      </c>
      <c r="O11" s="14">
        <v>1</v>
      </c>
      <c r="P11" s="21">
        <v>336554941</v>
      </c>
      <c r="Q11" s="21"/>
    </row>
    <row r="12" spans="1:17">
      <c r="A12" s="41"/>
      <c r="B12" s="268"/>
      <c r="C12" s="268"/>
      <c r="D12" s="268"/>
      <c r="E12" s="268"/>
      <c r="F12" s="268"/>
      <c r="G12" s="268"/>
      <c r="H12" s="268"/>
      <c r="I12" s="268"/>
      <c r="J12" s="268"/>
      <c r="K12" s="41"/>
      <c r="L12" s="41"/>
      <c r="M12" s="41"/>
      <c r="O12" s="14">
        <v>2</v>
      </c>
      <c r="P12" s="21">
        <v>410375889</v>
      </c>
      <c r="Q12" s="21"/>
    </row>
    <row r="13" spans="1:17">
      <c r="A13" s="41">
        <v>4966000000</v>
      </c>
      <c r="B13" s="268" t="s">
        <v>48</v>
      </c>
      <c r="C13" s="268"/>
      <c r="D13" s="268"/>
      <c r="E13" s="268"/>
      <c r="F13" s="268"/>
      <c r="G13" s="268"/>
      <c r="H13" s="268"/>
      <c r="I13" s="268"/>
      <c r="J13" s="268"/>
      <c r="K13" s="41">
        <f>A13*CPI!$S$93</f>
        <v>5545790247.9568987</v>
      </c>
      <c r="L13" s="41">
        <f>A13*CPI!$S$99</f>
        <v>6122458635.4565287</v>
      </c>
      <c r="M13" s="41">
        <f>A13*CPI!$S$102</f>
        <v>6410792829.2063446</v>
      </c>
      <c r="O13" s="14">
        <v>3</v>
      </c>
      <c r="P13" s="21">
        <v>182651937</v>
      </c>
      <c r="Q13" s="21"/>
    </row>
    <row r="14" spans="1:17">
      <c r="O14" s="14">
        <v>4</v>
      </c>
      <c r="P14" s="21">
        <v>126482213</v>
      </c>
      <c r="Q14" s="21"/>
    </row>
    <row r="15" spans="1:17">
      <c r="O15" s="14">
        <v>5</v>
      </c>
      <c r="P15" s="21">
        <v>26097431</v>
      </c>
      <c r="Q15" s="21"/>
    </row>
    <row r="16" spans="1:17">
      <c r="O16" s="14">
        <v>6</v>
      </c>
      <c r="P16" s="21">
        <v>142585771</v>
      </c>
      <c r="Q16" s="21"/>
    </row>
    <row r="17" spans="15:18">
      <c r="O17" s="14">
        <v>7</v>
      </c>
      <c r="P17" s="21">
        <v>536292490</v>
      </c>
      <c r="Q17" s="21"/>
    </row>
    <row r="18" spans="15:18">
      <c r="O18" s="14">
        <v>8</v>
      </c>
      <c r="P18" s="21">
        <v>106876482</v>
      </c>
      <c r="Q18" s="21"/>
    </row>
    <row r="19" spans="15:18">
      <c r="O19" s="14">
        <v>9</v>
      </c>
      <c r="P19" s="21">
        <v>173045771</v>
      </c>
      <c r="Q19" s="21"/>
    </row>
    <row r="20" spans="15:18">
      <c r="O20" s="14">
        <v>10</v>
      </c>
      <c r="P20" s="21">
        <v>36977134</v>
      </c>
      <c r="Q20" s="21"/>
    </row>
    <row r="21" spans="15:18">
      <c r="O21" s="14">
        <v>11</v>
      </c>
      <c r="P21" s="21">
        <v>2614980</v>
      </c>
      <c r="Q21" s="21"/>
    </row>
    <row r="22" spans="15:18">
      <c r="O22" s="14">
        <v>12</v>
      </c>
      <c r="P22" s="21">
        <v>33201581</v>
      </c>
      <c r="Q22" s="21"/>
    </row>
    <row r="23" spans="15:18">
      <c r="O23" s="14">
        <v>13</v>
      </c>
      <c r="P23" s="21">
        <v>442396561</v>
      </c>
      <c r="Q23" s="21"/>
    </row>
    <row r="24" spans="15:18">
      <c r="O24" s="14">
        <v>14</v>
      </c>
      <c r="P24" s="21">
        <v>236064822</v>
      </c>
      <c r="Q24" s="21"/>
    </row>
    <row r="25" spans="15:18">
      <c r="O25" s="14">
        <v>15</v>
      </c>
      <c r="P25" s="21">
        <v>126314625</v>
      </c>
      <c r="Q25" s="21"/>
    </row>
    <row r="26" spans="15:18">
      <c r="O26" s="14">
        <v>16</v>
      </c>
      <c r="P26" s="21">
        <v>20448617</v>
      </c>
      <c r="Q26" s="21"/>
    </row>
    <row r="27" spans="15:18">
      <c r="O27" s="14">
        <v>17</v>
      </c>
      <c r="P27" s="21">
        <v>295200395</v>
      </c>
      <c r="Q27" s="21">
        <f>SUM(P11:P27)</f>
        <v>3234181640</v>
      </c>
    </row>
    <row r="28" spans="15:18">
      <c r="O28" s="14">
        <v>18</v>
      </c>
      <c r="P28" s="21">
        <v>650549000</v>
      </c>
      <c r="Q28" s="21">
        <f>Q27+P28</f>
        <v>3884730640</v>
      </c>
    </row>
    <row r="30" spans="15:18">
      <c r="P30" s="21">
        <v>333379426</v>
      </c>
      <c r="Q30" s="14">
        <f>P30/Q28</f>
        <v>8.5817900105424047E-2</v>
      </c>
      <c r="R30" s="14">
        <f>P30/Q27</f>
        <v>0.10307999460413732</v>
      </c>
    </row>
    <row r="31" spans="15:18">
      <c r="P31" s="21">
        <v>478738934</v>
      </c>
      <c r="Q31" s="14">
        <f>P31/Q28</f>
        <v>0.12323606920658983</v>
      </c>
      <c r="R31" s="14">
        <f>P31/Q27</f>
        <v>0.14802475163392492</v>
      </c>
    </row>
  </sheetData>
  <mergeCells count="12">
    <mergeCell ref="B2:J2"/>
    <mergeCell ref="B3:J3"/>
    <mergeCell ref="B4:J4"/>
    <mergeCell ref="B5:J5"/>
    <mergeCell ref="B13:J13"/>
    <mergeCell ref="B6:J6"/>
    <mergeCell ref="B7:J7"/>
    <mergeCell ref="B8:J8"/>
    <mergeCell ref="B9:J9"/>
    <mergeCell ref="B10:J10"/>
    <mergeCell ref="B11:J11"/>
    <mergeCell ref="B12:J1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"/>
  <sheetViews>
    <sheetView workbookViewId="0">
      <selection activeCell="A2" sqref="A2"/>
    </sheetView>
  </sheetViews>
  <sheetFormatPr defaultRowHeight="15"/>
  <cols>
    <col min="1" max="1" width="13" style="1" customWidth="1"/>
    <col min="2" max="27" width="9.140625" style="1"/>
  </cols>
  <sheetData>
    <row r="1" spans="1:17">
      <c r="A1" s="237" t="s">
        <v>24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</row>
  </sheetData>
  <mergeCells count="1">
    <mergeCell ref="A1:Q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6" sqref="B6"/>
    </sheetView>
  </sheetViews>
  <sheetFormatPr defaultColWidth="9.140625" defaultRowHeight="15"/>
  <cols>
    <col min="1" max="1" width="9.140625" style="45"/>
    <col min="2" max="2" width="13.7109375" style="45" bestFit="1" customWidth="1"/>
    <col min="3" max="16384" width="9.140625" style="45"/>
  </cols>
  <sheetData>
    <row r="1" spans="1:5" ht="15" customHeight="1">
      <c r="A1" s="237" t="s">
        <v>106</v>
      </c>
      <c r="B1" s="237"/>
      <c r="C1" s="237"/>
      <c r="D1" s="237"/>
      <c r="E1" s="237"/>
    </row>
    <row r="2" spans="1:5">
      <c r="A2" s="237"/>
      <c r="B2" s="237"/>
      <c r="C2" s="237"/>
      <c r="D2" s="237"/>
      <c r="E2" s="237"/>
    </row>
    <row r="3" spans="1:5">
      <c r="A3" s="237"/>
      <c r="B3" s="237"/>
      <c r="C3" s="237"/>
      <c r="D3" s="237"/>
      <c r="E3" s="237"/>
    </row>
    <row r="6" spans="1:5">
      <c r="A6" s="45" t="s">
        <v>107</v>
      </c>
      <c r="B6" s="20">
        <f>175000000/97</f>
        <v>1804123.7113402062</v>
      </c>
    </row>
  </sheetData>
  <mergeCells count="1">
    <mergeCell ref="A1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18"/>
  <sheetViews>
    <sheetView topLeftCell="A94" workbookViewId="0">
      <selection activeCell="A15" sqref="A15:D20"/>
    </sheetView>
  </sheetViews>
  <sheetFormatPr defaultRowHeight="15"/>
  <cols>
    <col min="1" max="1" width="12.7109375" style="87" bestFit="1" customWidth="1"/>
    <col min="2" max="2" width="12.85546875" style="87" bestFit="1" customWidth="1"/>
    <col min="3" max="3" width="12.85546875" style="87" customWidth="1"/>
    <col min="4" max="4" width="12.7109375" style="91" bestFit="1" customWidth="1"/>
    <col min="5" max="5" width="12.7109375" style="87" bestFit="1" customWidth="1"/>
    <col min="6" max="6" width="12.85546875" style="87" bestFit="1" customWidth="1"/>
    <col min="7" max="7" width="9.140625" style="87"/>
    <col min="8" max="11" width="12.7109375" style="87" bestFit="1" customWidth="1"/>
    <col min="12" max="12" width="12.85546875" style="87" bestFit="1" customWidth="1"/>
    <col min="13" max="13" width="12.7109375" style="87" bestFit="1" customWidth="1"/>
    <col min="14" max="14" width="12.85546875" style="87" bestFit="1" customWidth="1"/>
    <col min="15" max="15" width="13.85546875" style="87" bestFit="1" customWidth="1"/>
    <col min="16" max="17" width="14" style="87" bestFit="1" customWidth="1"/>
    <col min="18" max="18" width="12.7109375" style="87" bestFit="1" customWidth="1"/>
    <col min="19" max="39" width="9.140625" style="87"/>
  </cols>
  <sheetData>
    <row r="2" spans="1:28" ht="30">
      <c r="A2" s="237" t="s">
        <v>214</v>
      </c>
      <c r="B2" s="237"/>
      <c r="C2" s="237"/>
      <c r="D2" s="237"/>
      <c r="E2" s="237"/>
      <c r="F2" s="237" t="s">
        <v>220</v>
      </c>
      <c r="G2" s="237"/>
      <c r="H2" s="237"/>
      <c r="I2" s="237"/>
      <c r="J2" s="87" t="s">
        <v>315</v>
      </c>
      <c r="K2" s="237" t="s">
        <v>228</v>
      </c>
      <c r="L2" s="237"/>
      <c r="M2" s="237"/>
      <c r="N2" s="237"/>
      <c r="O2" s="237"/>
      <c r="P2" s="237"/>
      <c r="Q2" s="237"/>
      <c r="S2" s="237" t="s">
        <v>232</v>
      </c>
      <c r="T2" s="237"/>
      <c r="U2" s="237"/>
      <c r="V2" s="237"/>
      <c r="W2" s="237"/>
      <c r="X2" s="237"/>
      <c r="Y2" s="237"/>
    </row>
    <row r="3" spans="1:28">
      <c r="A3" s="87" t="s">
        <v>6</v>
      </c>
      <c r="B3" s="87" t="s">
        <v>215</v>
      </c>
      <c r="C3" s="87" t="s">
        <v>218</v>
      </c>
      <c r="D3" s="91" t="s">
        <v>216</v>
      </c>
      <c r="E3" s="87" t="s">
        <v>217</v>
      </c>
      <c r="F3" s="87" t="s">
        <v>215</v>
      </c>
      <c r="G3" s="87" t="s">
        <v>218</v>
      </c>
      <c r="H3" s="91" t="s">
        <v>216</v>
      </c>
      <c r="I3" s="87" t="s">
        <v>217</v>
      </c>
      <c r="K3" s="87" t="s">
        <v>221</v>
      </c>
      <c r="L3" s="87" t="s">
        <v>222</v>
      </c>
      <c r="M3" s="87" t="s">
        <v>223</v>
      </c>
      <c r="N3" s="87" t="s">
        <v>224</v>
      </c>
      <c r="O3" s="87" t="s">
        <v>225</v>
      </c>
      <c r="P3" s="87" t="s">
        <v>226</v>
      </c>
      <c r="Q3" s="87" t="s">
        <v>227</v>
      </c>
      <c r="S3" s="111">
        <v>1000</v>
      </c>
      <c r="T3" s="111">
        <v>2000</v>
      </c>
      <c r="U3" s="111">
        <v>2500</v>
      </c>
      <c r="V3" s="111">
        <v>5000</v>
      </c>
      <c r="W3" s="111">
        <v>10000</v>
      </c>
      <c r="X3" s="111">
        <v>15000</v>
      </c>
      <c r="Y3" s="111">
        <v>20000</v>
      </c>
    </row>
    <row r="4" spans="1:28">
      <c r="A4" s="87">
        <v>2019</v>
      </c>
      <c r="B4" s="43">
        <v>3.4099423356623841</v>
      </c>
      <c r="C4" s="43">
        <v>3.6509018583109039</v>
      </c>
      <c r="D4" s="152">
        <v>4.0022797366929392</v>
      </c>
      <c r="E4" s="43">
        <v>4.7758296017680451</v>
      </c>
      <c r="F4" s="43">
        <v>72.674648218015321</v>
      </c>
      <c r="G4" s="43">
        <v>77.810115865112763</v>
      </c>
      <c r="H4" s="152">
        <v>85.298882884994512</v>
      </c>
      <c r="I4" s="43">
        <v>101.78522159385901</v>
      </c>
      <c r="J4" s="43">
        <f>D4/CPI!S91</f>
        <v>3.7125377330461888</v>
      </c>
      <c r="K4" s="43">
        <f t="shared" ref="K4:K17" si="0">D4*1000</f>
        <v>4002.2797366929394</v>
      </c>
      <c r="L4" s="43">
        <f t="shared" ref="L4:L17" si="1">2000*D4</f>
        <v>8004.5594733858788</v>
      </c>
      <c r="M4" s="43">
        <f t="shared" ref="M4" si="2">2500*D4:D17</f>
        <v>10005.699341732348</v>
      </c>
      <c r="N4" s="43">
        <f t="shared" ref="N4:N17" si="3">5000*D4</f>
        <v>20011.398683464697</v>
      </c>
      <c r="O4" s="43">
        <f t="shared" ref="O4:O17" si="4">10000*D4</f>
        <v>40022.797366929393</v>
      </c>
      <c r="P4" s="43">
        <f t="shared" ref="P4:P17" si="5">15000*D4</f>
        <v>60034.196050394086</v>
      </c>
      <c r="Q4" s="43">
        <f t="shared" ref="Q4:Q17" si="6">20000*D4</f>
        <v>80045.594733858787</v>
      </c>
      <c r="S4" s="43">
        <f>K4/48000</f>
        <v>8.3380827847769567E-2</v>
      </c>
      <c r="T4" s="43">
        <f t="shared" ref="T4:Y17" si="7">L4/48000</f>
        <v>0.16676165569553913</v>
      </c>
      <c r="U4" s="43">
        <f t="shared" si="7"/>
        <v>0.20845206961942392</v>
      </c>
      <c r="V4" s="43">
        <f t="shared" si="7"/>
        <v>0.41690413923884784</v>
      </c>
      <c r="W4" s="43">
        <f t="shared" si="7"/>
        <v>0.83380827847769567</v>
      </c>
      <c r="X4" s="43">
        <f t="shared" si="7"/>
        <v>1.2507124177165434</v>
      </c>
      <c r="Y4" s="43">
        <f t="shared" si="7"/>
        <v>1.6676165569553913</v>
      </c>
      <c r="Z4" s="43"/>
      <c r="AA4" s="43"/>
      <c r="AB4" s="43"/>
    </row>
    <row r="5" spans="1:28">
      <c r="A5" s="87">
        <v>2020</v>
      </c>
      <c r="B5" s="43">
        <v>9.9052903833033596</v>
      </c>
      <c r="C5" s="43">
        <v>10.605235956427581</v>
      </c>
      <c r="D5" s="152">
        <v>11.625927679933522</v>
      </c>
      <c r="E5" s="43">
        <v>13.872955718912269</v>
      </c>
      <c r="F5" s="43">
        <v>76.964113912715121</v>
      </c>
      <c r="G5" s="43">
        <v>82.402691555369515</v>
      </c>
      <c r="H5" s="152">
        <v>90.333467033703201</v>
      </c>
      <c r="I5" s="43">
        <v>107.79287662845255</v>
      </c>
      <c r="J5" s="43">
        <f>D5/CPI!S92</f>
        <v>10.594084247390651</v>
      </c>
      <c r="K5" s="43">
        <f t="shared" si="0"/>
        <v>11625.927679933522</v>
      </c>
      <c r="L5" s="43">
        <f t="shared" si="1"/>
        <v>23251.855359867044</v>
      </c>
      <c r="M5" s="43">
        <f t="shared" ref="M5:M17" si="8">2500*D5:D21</f>
        <v>29064.819199833804</v>
      </c>
      <c r="N5" s="43">
        <f t="shared" si="3"/>
        <v>58129.638399667609</v>
      </c>
      <c r="O5" s="43">
        <f t="shared" si="4"/>
        <v>116259.27679933522</v>
      </c>
      <c r="P5" s="43">
        <f t="shared" si="5"/>
        <v>174388.91519900283</v>
      </c>
      <c r="Q5" s="43">
        <f t="shared" si="6"/>
        <v>232518.55359867043</v>
      </c>
      <c r="S5" s="43">
        <f t="shared" ref="S5:S17" si="9">K5/48000</f>
        <v>0.2422068266652817</v>
      </c>
      <c r="T5" s="43">
        <f t="shared" si="7"/>
        <v>0.48441365333056341</v>
      </c>
      <c r="U5" s="43">
        <f t="shared" si="7"/>
        <v>0.60551706666320426</v>
      </c>
      <c r="V5" s="43">
        <f t="shared" si="7"/>
        <v>1.2110341333264085</v>
      </c>
      <c r="W5" s="43">
        <f t="shared" si="7"/>
        <v>2.422068266652817</v>
      </c>
      <c r="X5" s="43">
        <f t="shared" si="7"/>
        <v>3.6331023999792258</v>
      </c>
      <c r="Y5" s="43">
        <f t="shared" si="7"/>
        <v>4.8441365333056341</v>
      </c>
      <c r="Z5" s="43"/>
      <c r="AA5" s="43"/>
      <c r="AB5" s="43"/>
    </row>
    <row r="6" spans="1:28">
      <c r="A6" s="87">
        <v>2021</v>
      </c>
      <c r="B6" s="43">
        <v>29.351158103793253</v>
      </c>
      <c r="C6" s="43">
        <v>31.425222809200488</v>
      </c>
      <c r="D6" s="152">
        <v>34.449716084264381</v>
      </c>
      <c r="E6" s="43">
        <v>41.10806457113901</v>
      </c>
      <c r="F6" s="43">
        <v>94.645275750852093</v>
      </c>
      <c r="G6" s="43">
        <v>101.33327168185448</v>
      </c>
      <c r="H6" s="152">
        <v>111.08600440240855</v>
      </c>
      <c r="I6" s="43">
        <v>132.55640861463877</v>
      </c>
      <c r="J6" s="43">
        <f>D6/CPI!S93</f>
        <v>30.848135689495791</v>
      </c>
      <c r="K6" s="43">
        <f t="shared" si="0"/>
        <v>34449.716084264379</v>
      </c>
      <c r="L6" s="43">
        <f t="shared" si="1"/>
        <v>68899.432168528758</v>
      </c>
      <c r="M6" s="43">
        <f t="shared" si="8"/>
        <v>86124.290210660954</v>
      </c>
      <c r="N6" s="43">
        <f t="shared" si="3"/>
        <v>172248.58042132191</v>
      </c>
      <c r="O6" s="43">
        <f t="shared" si="4"/>
        <v>344497.16084264382</v>
      </c>
      <c r="P6" s="43">
        <f t="shared" si="5"/>
        <v>516745.74126396573</v>
      </c>
      <c r="Q6" s="43">
        <f t="shared" si="6"/>
        <v>688994.32168528764</v>
      </c>
      <c r="S6" s="43">
        <f t="shared" si="9"/>
        <v>0.71770241842217453</v>
      </c>
      <c r="T6" s="43">
        <f t="shared" si="7"/>
        <v>1.4354048368443491</v>
      </c>
      <c r="U6" s="43">
        <f t="shared" si="7"/>
        <v>1.7942560460554366</v>
      </c>
      <c r="V6" s="43">
        <f t="shared" si="7"/>
        <v>3.5885120921108733</v>
      </c>
      <c r="W6" s="43">
        <f t="shared" si="7"/>
        <v>7.1770241842217466</v>
      </c>
      <c r="X6" s="43">
        <f t="shared" si="7"/>
        <v>10.76553627633262</v>
      </c>
      <c r="Y6" s="43">
        <f t="shared" si="7"/>
        <v>14.354048368443493</v>
      </c>
      <c r="Z6" s="43"/>
      <c r="AA6" s="43"/>
      <c r="AB6" s="43"/>
    </row>
    <row r="7" spans="1:28">
      <c r="A7" s="87">
        <v>2022</v>
      </c>
      <c r="B7" s="43">
        <v>67.175738217462197</v>
      </c>
      <c r="C7" s="43">
        <v>71.922631924477727</v>
      </c>
      <c r="D7" s="152">
        <v>78.844763166035435</v>
      </c>
      <c r="E7" s="43">
        <v>94.083666971235573</v>
      </c>
      <c r="F7" s="43">
        <v>130.70514998216808</v>
      </c>
      <c r="G7" s="43">
        <v>139.94127407084378</v>
      </c>
      <c r="H7" s="152">
        <v>153.40980044855408</v>
      </c>
      <c r="I7" s="43">
        <v>183.06043414869478</v>
      </c>
      <c r="J7" s="43">
        <f>D7/CPI!S94</f>
        <v>69.399134982955133</v>
      </c>
      <c r="K7" s="43">
        <f t="shared" si="0"/>
        <v>78844.763166035438</v>
      </c>
      <c r="L7" s="43">
        <f t="shared" si="1"/>
        <v>157689.52633207088</v>
      </c>
      <c r="M7" s="43">
        <f t="shared" si="8"/>
        <v>197111.90791508858</v>
      </c>
      <c r="N7" s="43">
        <f t="shared" si="3"/>
        <v>394223.81583017716</v>
      </c>
      <c r="O7" s="43">
        <f t="shared" si="4"/>
        <v>788447.63166035432</v>
      </c>
      <c r="P7" s="43">
        <f t="shared" si="5"/>
        <v>1182671.4474905315</v>
      </c>
      <c r="Q7" s="43">
        <f t="shared" si="6"/>
        <v>1576895.2633207086</v>
      </c>
      <c r="S7" s="43">
        <f t="shared" si="9"/>
        <v>1.6425992326257384</v>
      </c>
      <c r="T7" s="43">
        <f t="shared" si="7"/>
        <v>3.2851984652514767</v>
      </c>
      <c r="U7" s="43">
        <f t="shared" si="7"/>
        <v>4.1064980815643457</v>
      </c>
      <c r="V7" s="43">
        <f t="shared" si="7"/>
        <v>8.2129961631286914</v>
      </c>
      <c r="W7" s="43">
        <f t="shared" si="7"/>
        <v>16.425992326257383</v>
      </c>
      <c r="X7" s="43">
        <f t="shared" si="7"/>
        <v>24.638988489386072</v>
      </c>
      <c r="Y7" s="43">
        <f t="shared" si="7"/>
        <v>32.851984652514766</v>
      </c>
      <c r="Z7" s="43"/>
      <c r="AA7" s="43"/>
      <c r="AB7" s="43"/>
    </row>
    <row r="8" spans="1:28">
      <c r="A8" s="87">
        <v>2023</v>
      </c>
      <c r="B8" s="43">
        <v>241.09532954410034</v>
      </c>
      <c r="C8" s="43">
        <v>258.13204447976483</v>
      </c>
      <c r="D8" s="152">
        <v>282.9757389015262</v>
      </c>
      <c r="E8" s="43">
        <v>337.66852877324976</v>
      </c>
      <c r="F8" s="43">
        <v>229.80121189704153</v>
      </c>
      <c r="G8" s="43">
        <v>246.03984143152198</v>
      </c>
      <c r="H8" s="152">
        <v>269.71973227352288</v>
      </c>
      <c r="I8" s="43">
        <v>321.85043683059035</v>
      </c>
      <c r="J8" s="43">
        <f>D8/CPI!S95</f>
        <v>244.90315875210518</v>
      </c>
      <c r="K8" s="43">
        <f t="shared" si="0"/>
        <v>282975.7389015262</v>
      </c>
      <c r="L8" s="43">
        <f t="shared" si="1"/>
        <v>565951.4778030524</v>
      </c>
      <c r="M8" s="43">
        <f t="shared" si="8"/>
        <v>707439.3472538155</v>
      </c>
      <c r="N8" s="43">
        <f t="shared" si="3"/>
        <v>1414878.694507631</v>
      </c>
      <c r="O8" s="43">
        <f t="shared" si="4"/>
        <v>2829757.389015262</v>
      </c>
      <c r="P8" s="43">
        <f t="shared" si="5"/>
        <v>4244636.0835228926</v>
      </c>
      <c r="Q8" s="43">
        <f t="shared" si="6"/>
        <v>5659514.778030524</v>
      </c>
      <c r="S8" s="43">
        <f t="shared" si="9"/>
        <v>5.8953278937817961</v>
      </c>
      <c r="T8" s="43">
        <f t="shared" si="7"/>
        <v>11.790655787563592</v>
      </c>
      <c r="U8" s="43">
        <f t="shared" si="7"/>
        <v>14.738319734454489</v>
      </c>
      <c r="V8" s="43">
        <f t="shared" si="7"/>
        <v>29.476639468908978</v>
      </c>
      <c r="W8" s="43">
        <f t="shared" si="7"/>
        <v>58.953278937817956</v>
      </c>
      <c r="X8" s="43">
        <f t="shared" si="7"/>
        <v>88.429918406726927</v>
      </c>
      <c r="Y8" s="43">
        <f t="shared" si="7"/>
        <v>117.90655787563591</v>
      </c>
      <c r="Z8" s="43"/>
      <c r="AA8" s="43"/>
      <c r="AB8" s="43"/>
    </row>
    <row r="9" spans="1:28">
      <c r="A9" s="87">
        <v>2024</v>
      </c>
      <c r="B9" s="43">
        <v>241.09532954410034</v>
      </c>
      <c r="C9" s="43">
        <v>258.13204447976483</v>
      </c>
      <c r="D9" s="152">
        <v>282.9757389015262</v>
      </c>
      <c r="E9" s="43">
        <v>337.66852877324976</v>
      </c>
      <c r="F9" s="43">
        <v>229.80121189704153</v>
      </c>
      <c r="G9" s="43">
        <v>246.03984143152198</v>
      </c>
      <c r="H9" s="152">
        <v>269.71973227352288</v>
      </c>
      <c r="I9" s="43">
        <v>321.85043683059035</v>
      </c>
      <c r="J9" s="43">
        <f>D9/CPI!S96</f>
        <v>240.86862277724833</v>
      </c>
      <c r="K9" s="43">
        <f t="shared" si="0"/>
        <v>282975.7389015262</v>
      </c>
      <c r="L9" s="43">
        <f t="shared" si="1"/>
        <v>565951.4778030524</v>
      </c>
      <c r="M9" s="43">
        <f t="shared" si="8"/>
        <v>707439.3472538155</v>
      </c>
      <c r="N9" s="43">
        <f t="shared" si="3"/>
        <v>1414878.694507631</v>
      </c>
      <c r="O9" s="43">
        <f t="shared" si="4"/>
        <v>2829757.389015262</v>
      </c>
      <c r="P9" s="43">
        <f t="shared" si="5"/>
        <v>4244636.0835228926</v>
      </c>
      <c r="Q9" s="43">
        <f t="shared" si="6"/>
        <v>5659514.778030524</v>
      </c>
      <c r="S9" s="43">
        <f t="shared" si="9"/>
        <v>5.8953278937817961</v>
      </c>
      <c r="T9" s="43">
        <f t="shared" si="7"/>
        <v>11.790655787563592</v>
      </c>
      <c r="U9" s="43">
        <f t="shared" si="7"/>
        <v>14.738319734454489</v>
      </c>
      <c r="V9" s="43">
        <f t="shared" si="7"/>
        <v>29.476639468908978</v>
      </c>
      <c r="W9" s="43">
        <f t="shared" si="7"/>
        <v>58.953278937817956</v>
      </c>
      <c r="X9" s="43">
        <f t="shared" si="7"/>
        <v>88.429918406726927</v>
      </c>
      <c r="Y9" s="43">
        <f t="shared" si="7"/>
        <v>117.90655787563591</v>
      </c>
      <c r="Z9" s="43"/>
      <c r="AA9" s="43"/>
      <c r="AB9" s="43"/>
    </row>
    <row r="10" spans="1:28">
      <c r="A10" s="87">
        <v>2025</v>
      </c>
      <c r="B10" s="43">
        <v>445.37453133334463</v>
      </c>
      <c r="C10" s="43">
        <v>476.84639329051885</v>
      </c>
      <c r="D10" s="152">
        <v>522.74006025040444</v>
      </c>
      <c r="E10" s="43">
        <v>623.77385340804562</v>
      </c>
      <c r="F10" s="43">
        <v>434.08041368628579</v>
      </c>
      <c r="G10" s="43">
        <v>464.75419024227602</v>
      </c>
      <c r="H10" s="152">
        <v>509.48405362240118</v>
      </c>
      <c r="I10" s="43">
        <v>607.95576146538622</v>
      </c>
      <c r="J10" s="43">
        <f>D10/CPI!S97</f>
        <v>437.74433418964981</v>
      </c>
      <c r="K10" s="43">
        <f t="shared" si="0"/>
        <v>522740.06025040447</v>
      </c>
      <c r="L10" s="43">
        <f t="shared" si="1"/>
        <v>1045480.1205008089</v>
      </c>
      <c r="M10" s="43">
        <f t="shared" si="8"/>
        <v>1306850.1506260112</v>
      </c>
      <c r="N10" s="43">
        <f t="shared" si="3"/>
        <v>2613700.3012520224</v>
      </c>
      <c r="O10" s="43">
        <f t="shared" si="4"/>
        <v>5227400.6025040448</v>
      </c>
      <c r="P10" s="43">
        <f t="shared" si="5"/>
        <v>7841100.9037560662</v>
      </c>
      <c r="Q10" s="43">
        <f t="shared" si="6"/>
        <v>10454801.20500809</v>
      </c>
      <c r="S10" s="43">
        <f t="shared" si="9"/>
        <v>10.890417921883426</v>
      </c>
      <c r="T10" s="43">
        <f t="shared" si="7"/>
        <v>21.780835843766852</v>
      </c>
      <c r="U10" s="43">
        <f t="shared" si="7"/>
        <v>27.226044804708568</v>
      </c>
      <c r="V10" s="43">
        <f t="shared" si="7"/>
        <v>54.452089609417136</v>
      </c>
      <c r="W10" s="43">
        <f t="shared" si="7"/>
        <v>108.90417921883427</v>
      </c>
      <c r="X10" s="43">
        <f t="shared" si="7"/>
        <v>163.35626882825139</v>
      </c>
      <c r="Y10" s="43">
        <f t="shared" si="7"/>
        <v>217.80835843766855</v>
      </c>
      <c r="Z10" s="43"/>
      <c r="AA10" s="43"/>
      <c r="AB10" s="43"/>
    </row>
    <row r="11" spans="1:28">
      <c r="A11" s="87">
        <v>2026</v>
      </c>
      <c r="B11" s="43">
        <v>445.37453133334463</v>
      </c>
      <c r="C11" s="43">
        <v>476.84639329051885</v>
      </c>
      <c r="D11" s="152">
        <v>522.74006025040444</v>
      </c>
      <c r="E11" s="43">
        <v>623.77385340804562</v>
      </c>
      <c r="F11" s="43">
        <v>434.08041368628579</v>
      </c>
      <c r="G11" s="43">
        <v>464.75419024227602</v>
      </c>
      <c r="H11" s="152">
        <v>509.48405362240118</v>
      </c>
      <c r="I11" s="43">
        <v>607.95576146538622</v>
      </c>
      <c r="J11" s="43">
        <f>D11/CPI!S98</f>
        <v>430.76295422087532</v>
      </c>
      <c r="K11" s="43">
        <f t="shared" si="0"/>
        <v>522740.06025040447</v>
      </c>
      <c r="L11" s="43">
        <f t="shared" si="1"/>
        <v>1045480.1205008089</v>
      </c>
      <c r="M11" s="43">
        <f t="shared" si="8"/>
        <v>1306850.1506260112</v>
      </c>
      <c r="N11" s="43">
        <f t="shared" si="3"/>
        <v>2613700.3012520224</v>
      </c>
      <c r="O11" s="43">
        <f t="shared" si="4"/>
        <v>5227400.6025040448</v>
      </c>
      <c r="P11" s="43">
        <f t="shared" si="5"/>
        <v>7841100.9037560662</v>
      </c>
      <c r="Q11" s="43">
        <f t="shared" si="6"/>
        <v>10454801.20500809</v>
      </c>
      <c r="S11" s="43">
        <f t="shared" si="9"/>
        <v>10.890417921883426</v>
      </c>
      <c r="T11" s="43">
        <f t="shared" si="7"/>
        <v>21.780835843766852</v>
      </c>
      <c r="U11" s="43">
        <f t="shared" si="7"/>
        <v>27.226044804708568</v>
      </c>
      <c r="V11" s="43">
        <f t="shared" si="7"/>
        <v>54.452089609417136</v>
      </c>
      <c r="W11" s="43">
        <f t="shared" si="7"/>
        <v>108.90417921883427</v>
      </c>
      <c r="X11" s="43">
        <f t="shared" si="7"/>
        <v>163.35626882825139</v>
      </c>
      <c r="Y11" s="43">
        <f t="shared" si="7"/>
        <v>217.80835843766855</v>
      </c>
      <c r="Z11" s="43"/>
      <c r="AA11" s="43"/>
      <c r="AB11" s="43"/>
    </row>
    <row r="12" spans="1:28">
      <c r="A12" s="87">
        <v>2027</v>
      </c>
      <c r="B12" s="43">
        <v>445.37453133334463</v>
      </c>
      <c r="C12" s="43">
        <v>476.84639329051885</v>
      </c>
      <c r="D12" s="152">
        <v>522.74006025040444</v>
      </c>
      <c r="E12" s="43">
        <v>623.77385340804562</v>
      </c>
      <c r="F12" s="43">
        <v>434.08041368628579</v>
      </c>
      <c r="G12" s="43">
        <v>464.75419024227602</v>
      </c>
      <c r="H12" s="152">
        <v>509.48405362240118</v>
      </c>
      <c r="I12" s="43">
        <v>607.95576146538622</v>
      </c>
      <c r="J12" s="43">
        <f>D12/CPI!S99</f>
        <v>424.00076403455193</v>
      </c>
      <c r="K12" s="43">
        <f t="shared" si="0"/>
        <v>522740.06025040447</v>
      </c>
      <c r="L12" s="43">
        <f t="shared" si="1"/>
        <v>1045480.1205008089</v>
      </c>
      <c r="M12" s="43">
        <f t="shared" si="8"/>
        <v>1306850.1506260112</v>
      </c>
      <c r="N12" s="43">
        <f t="shared" si="3"/>
        <v>2613700.3012520224</v>
      </c>
      <c r="O12" s="43">
        <f t="shared" si="4"/>
        <v>5227400.6025040448</v>
      </c>
      <c r="P12" s="43">
        <f t="shared" si="5"/>
        <v>7841100.9037560662</v>
      </c>
      <c r="Q12" s="43">
        <f t="shared" si="6"/>
        <v>10454801.20500809</v>
      </c>
      <c r="S12" s="43">
        <f t="shared" si="9"/>
        <v>10.890417921883426</v>
      </c>
      <c r="T12" s="43">
        <f t="shared" si="7"/>
        <v>21.780835843766852</v>
      </c>
      <c r="U12" s="43">
        <f t="shared" si="7"/>
        <v>27.226044804708568</v>
      </c>
      <c r="V12" s="43">
        <f t="shared" si="7"/>
        <v>54.452089609417136</v>
      </c>
      <c r="W12" s="43">
        <f t="shared" si="7"/>
        <v>108.90417921883427</v>
      </c>
      <c r="X12" s="43">
        <f t="shared" si="7"/>
        <v>163.35626882825139</v>
      </c>
      <c r="Y12" s="43">
        <f t="shared" si="7"/>
        <v>217.80835843766855</v>
      </c>
      <c r="Z12" s="43"/>
      <c r="AA12" s="43"/>
      <c r="AB12" s="43"/>
    </row>
    <row r="13" spans="1:28">
      <c r="A13" s="87">
        <v>2028</v>
      </c>
      <c r="B13" s="43">
        <v>513.08223001605154</v>
      </c>
      <c r="C13" s="43">
        <v>549.33857603431636</v>
      </c>
      <c r="D13" s="152">
        <v>602.20919015968491</v>
      </c>
      <c r="E13" s="43">
        <v>718.60256304769121</v>
      </c>
      <c r="F13" s="43">
        <v>501.7881123689927</v>
      </c>
      <c r="G13" s="43">
        <v>537.24637298607354</v>
      </c>
      <c r="H13" s="152">
        <v>588.95318353168159</v>
      </c>
      <c r="I13" s="43">
        <v>702.7844711050318</v>
      </c>
      <c r="J13" s="43">
        <f>D13/CPI!S100</f>
        <v>480.90973041768922</v>
      </c>
      <c r="K13" s="43">
        <f t="shared" si="0"/>
        <v>602209.19015968486</v>
      </c>
      <c r="L13" s="43">
        <f t="shared" si="1"/>
        <v>1204418.3803193697</v>
      </c>
      <c r="M13" s="43">
        <f t="shared" si="8"/>
        <v>1505522.9753992122</v>
      </c>
      <c r="N13" s="43">
        <f t="shared" si="3"/>
        <v>3011045.9507984244</v>
      </c>
      <c r="O13" s="43">
        <f t="shared" si="4"/>
        <v>6022091.9015968489</v>
      </c>
      <c r="P13" s="43">
        <f t="shared" si="5"/>
        <v>9033137.8523952737</v>
      </c>
      <c r="Q13" s="43">
        <f t="shared" si="6"/>
        <v>12044183.803193698</v>
      </c>
      <c r="S13" s="43">
        <f t="shared" si="9"/>
        <v>12.546024794993434</v>
      </c>
      <c r="T13" s="43">
        <f t="shared" si="7"/>
        <v>25.092049589986868</v>
      </c>
      <c r="U13" s="43">
        <f t="shared" si="7"/>
        <v>31.365061987483589</v>
      </c>
      <c r="V13" s="43">
        <f t="shared" si="7"/>
        <v>62.730123974967178</v>
      </c>
      <c r="W13" s="43">
        <f t="shared" si="7"/>
        <v>125.46024794993436</v>
      </c>
      <c r="X13" s="43">
        <f t="shared" si="7"/>
        <v>188.19037192490154</v>
      </c>
      <c r="Y13" s="43">
        <f t="shared" si="7"/>
        <v>250.92049589986871</v>
      </c>
      <c r="Z13" s="43"/>
      <c r="AA13" s="43"/>
      <c r="AB13" s="43"/>
    </row>
    <row r="14" spans="1:28">
      <c r="A14" s="87">
        <v>2029</v>
      </c>
      <c r="B14" s="43">
        <v>623.87943968111949</v>
      </c>
      <c r="C14" s="43">
        <v>667.96513884488172</v>
      </c>
      <c r="D14" s="152">
        <v>732.2528634754924</v>
      </c>
      <c r="E14" s="43">
        <v>873.78072784470521</v>
      </c>
      <c r="F14" s="43">
        <v>610.4617215537711</v>
      </c>
      <c r="G14" s="43">
        <v>653.59927361217456</v>
      </c>
      <c r="H14" s="152">
        <v>716.50436802085812</v>
      </c>
      <c r="I14" s="43">
        <v>854.98840553749449</v>
      </c>
      <c r="J14" s="43">
        <f>D14/CPI!S101</f>
        <v>575.85925110977234</v>
      </c>
      <c r="K14" s="43">
        <f t="shared" si="0"/>
        <v>732252.86347549246</v>
      </c>
      <c r="L14" s="43">
        <f t="shared" si="1"/>
        <v>1464505.7269509849</v>
      </c>
      <c r="M14" s="43">
        <f t="shared" si="8"/>
        <v>1830632.158688731</v>
      </c>
      <c r="N14" s="43">
        <f t="shared" si="3"/>
        <v>3661264.3173774621</v>
      </c>
      <c r="O14" s="43">
        <f t="shared" si="4"/>
        <v>7322528.6347549241</v>
      </c>
      <c r="P14" s="43">
        <f t="shared" si="5"/>
        <v>10983792.952132385</v>
      </c>
      <c r="Q14" s="43">
        <f t="shared" si="6"/>
        <v>14645057.269509848</v>
      </c>
      <c r="S14" s="43">
        <f t="shared" si="9"/>
        <v>15.25526798907276</v>
      </c>
      <c r="T14" s="43">
        <f t="shared" si="7"/>
        <v>30.510535978145519</v>
      </c>
      <c r="U14" s="43">
        <f t="shared" si="7"/>
        <v>38.138169972681894</v>
      </c>
      <c r="V14" s="43">
        <f t="shared" si="7"/>
        <v>76.276339945363787</v>
      </c>
      <c r="W14" s="43">
        <f t="shared" si="7"/>
        <v>152.55267989072757</v>
      </c>
      <c r="X14" s="43">
        <f t="shared" si="7"/>
        <v>228.82901983609136</v>
      </c>
      <c r="Y14" s="43">
        <f t="shared" si="7"/>
        <v>305.10535978145515</v>
      </c>
      <c r="Z14" s="43"/>
      <c r="AA14" s="43"/>
      <c r="AB14" s="43"/>
    </row>
    <row r="15" spans="1:28">
      <c r="A15" s="87">
        <v>2030</v>
      </c>
      <c r="B15" s="43">
        <v>760.22729050175781</v>
      </c>
      <c r="C15" s="43">
        <v>813.94784850295264</v>
      </c>
      <c r="D15" s="152">
        <v>892.28555223211004</v>
      </c>
      <c r="E15" s="43">
        <v>1064.7441043441986</v>
      </c>
      <c r="F15" s="43">
        <v>746.10170554764602</v>
      </c>
      <c r="G15" s="43">
        <v>798.82409587542406</v>
      </c>
      <c r="H15" s="152">
        <v>875.70622716859873</v>
      </c>
      <c r="I15" s="43">
        <v>1044.9603719154707</v>
      </c>
      <c r="J15" s="43">
        <f>D15/CPI!S102</f>
        <v>691.19220827063077</v>
      </c>
      <c r="K15" s="43">
        <f t="shared" si="0"/>
        <v>892285.55223211006</v>
      </c>
      <c r="L15" s="43">
        <f t="shared" si="1"/>
        <v>1784571.1044642201</v>
      </c>
      <c r="M15" s="43">
        <f t="shared" si="8"/>
        <v>2230713.8805802753</v>
      </c>
      <c r="N15" s="43">
        <f t="shared" si="3"/>
        <v>4461427.7611605506</v>
      </c>
      <c r="O15" s="43">
        <f t="shared" si="4"/>
        <v>8922855.5223211013</v>
      </c>
      <c r="P15" s="43">
        <f t="shared" si="5"/>
        <v>13384283.28348165</v>
      </c>
      <c r="Q15" s="43">
        <f t="shared" si="6"/>
        <v>17845711.044642203</v>
      </c>
      <c r="S15" s="43">
        <f t="shared" si="9"/>
        <v>18.58928233816896</v>
      </c>
      <c r="T15" s="43">
        <f t="shared" si="7"/>
        <v>37.178564676337921</v>
      </c>
      <c r="U15" s="43">
        <f t="shared" si="7"/>
        <v>46.473205845422406</v>
      </c>
      <c r="V15" s="43">
        <f t="shared" si="7"/>
        <v>92.946411690844812</v>
      </c>
      <c r="W15" s="43">
        <f t="shared" si="7"/>
        <v>185.89282338168962</v>
      </c>
      <c r="X15" s="43">
        <f t="shared" si="7"/>
        <v>278.83923507253439</v>
      </c>
      <c r="Y15" s="43">
        <f t="shared" si="7"/>
        <v>371.78564676337925</v>
      </c>
      <c r="Z15" s="43"/>
      <c r="AA15" s="43"/>
      <c r="AB15" s="43"/>
    </row>
    <row r="16" spans="1:28">
      <c r="A16" s="87">
        <v>2031</v>
      </c>
      <c r="B16" s="43">
        <v>760.22729050175781</v>
      </c>
      <c r="C16" s="43">
        <v>813.94784850295264</v>
      </c>
      <c r="D16" s="152">
        <v>892.28555223211004</v>
      </c>
      <c r="E16" s="43">
        <v>1064.7441043441986</v>
      </c>
      <c r="F16" s="43">
        <v>746.10170554764602</v>
      </c>
      <c r="G16" s="43">
        <v>798.82409587542406</v>
      </c>
      <c r="H16" s="152">
        <v>875.70622716859873</v>
      </c>
      <c r="I16" s="43">
        <v>1044.9603719154707</v>
      </c>
      <c r="J16" s="43">
        <f>D16/CPI!S103</f>
        <v>680.98282957883339</v>
      </c>
      <c r="K16" s="43">
        <f t="shared" si="0"/>
        <v>892285.55223211006</v>
      </c>
      <c r="L16" s="43">
        <f t="shared" si="1"/>
        <v>1784571.1044642201</v>
      </c>
      <c r="M16" s="43">
        <f t="shared" si="8"/>
        <v>2230713.8805802753</v>
      </c>
      <c r="N16" s="43">
        <f t="shared" si="3"/>
        <v>4461427.7611605506</v>
      </c>
      <c r="O16" s="43">
        <f t="shared" si="4"/>
        <v>8922855.5223211013</v>
      </c>
      <c r="P16" s="43">
        <f t="shared" si="5"/>
        <v>13384283.28348165</v>
      </c>
      <c r="Q16" s="43">
        <f t="shared" si="6"/>
        <v>17845711.044642203</v>
      </c>
      <c r="S16" s="43">
        <f t="shared" si="9"/>
        <v>18.58928233816896</v>
      </c>
      <c r="T16" s="43">
        <f t="shared" si="7"/>
        <v>37.178564676337921</v>
      </c>
      <c r="U16" s="43">
        <f t="shared" si="7"/>
        <v>46.473205845422406</v>
      </c>
      <c r="V16" s="43">
        <f t="shared" si="7"/>
        <v>92.946411690844812</v>
      </c>
      <c r="W16" s="43">
        <f t="shared" si="7"/>
        <v>185.89282338168962</v>
      </c>
      <c r="X16" s="43">
        <f t="shared" si="7"/>
        <v>278.83923507253439</v>
      </c>
      <c r="Y16" s="43">
        <f t="shared" si="7"/>
        <v>371.78564676337925</v>
      </c>
      <c r="Z16" s="43"/>
      <c r="AA16" s="43"/>
      <c r="AB16" s="43"/>
    </row>
    <row r="17" spans="1:39">
      <c r="A17" s="87">
        <v>2059</v>
      </c>
      <c r="B17" s="43">
        <v>760.22729285469893</v>
      </c>
      <c r="C17" s="43">
        <v>813.94785102216167</v>
      </c>
      <c r="D17" s="152">
        <v>892.28555499377808</v>
      </c>
      <c r="E17" s="43">
        <v>1064.7441076396344</v>
      </c>
      <c r="F17" s="43">
        <v>645.27125895941072</v>
      </c>
      <c r="G17" s="43">
        <v>690.86858560964754</v>
      </c>
      <c r="H17" s="152">
        <v>757.36063258146805</v>
      </c>
      <c r="I17" s="43">
        <v>903.74125904679374</v>
      </c>
      <c r="J17" s="43">
        <f>D17/CPI!$S$131</f>
        <v>481.7437278030124</v>
      </c>
      <c r="K17" s="43">
        <f t="shared" si="0"/>
        <v>892285.55499377812</v>
      </c>
      <c r="L17" s="43">
        <f t="shared" si="1"/>
        <v>1784571.1099875562</v>
      </c>
      <c r="M17" s="43">
        <f t="shared" si="8"/>
        <v>2230713.8874844452</v>
      </c>
      <c r="N17" s="43">
        <f t="shared" si="3"/>
        <v>4461427.7749688905</v>
      </c>
      <c r="O17" s="43">
        <f t="shared" si="4"/>
        <v>8922855.5499377809</v>
      </c>
      <c r="P17" s="43">
        <f t="shared" si="5"/>
        <v>13384283.324906671</v>
      </c>
      <c r="Q17" s="43">
        <f t="shared" si="6"/>
        <v>17845711.099875562</v>
      </c>
      <c r="S17" s="43">
        <f t="shared" si="9"/>
        <v>18.589282395703712</v>
      </c>
      <c r="T17" s="43">
        <f t="shared" si="7"/>
        <v>37.178564791407425</v>
      </c>
      <c r="U17" s="43">
        <f t="shared" si="7"/>
        <v>46.473205989259277</v>
      </c>
      <c r="V17" s="43">
        <f t="shared" si="7"/>
        <v>92.946411978518555</v>
      </c>
      <c r="W17" s="43">
        <f t="shared" si="7"/>
        <v>185.89282395703711</v>
      </c>
      <c r="X17" s="43">
        <f t="shared" si="7"/>
        <v>278.83923593555568</v>
      </c>
      <c r="Y17" s="43">
        <f t="shared" si="7"/>
        <v>371.78564791407422</v>
      </c>
      <c r="Z17" s="43"/>
      <c r="AA17" s="43"/>
      <c r="AB17" s="43"/>
    </row>
    <row r="18" spans="1:39">
      <c r="A18" s="156">
        <v>2060</v>
      </c>
      <c r="B18" s="43">
        <v>659.3968439135225</v>
      </c>
      <c r="C18" s="43">
        <v>705.99233823717611</v>
      </c>
      <c r="D18" s="152">
        <v>773.93995764497947</v>
      </c>
      <c r="E18" s="43">
        <v>923.52499147552169</v>
      </c>
      <c r="F18" s="43"/>
      <c r="G18" s="43"/>
      <c r="H18" s="152"/>
      <c r="I18" s="43"/>
      <c r="J18" s="43">
        <f>D18/CPI!$S$132</f>
        <v>413.52809337708266</v>
      </c>
      <c r="K18" s="43"/>
      <c r="L18" s="43"/>
      <c r="M18" s="43"/>
      <c r="N18" s="43"/>
      <c r="O18" s="43"/>
      <c r="P18" s="43"/>
      <c r="Q18" s="43"/>
      <c r="R18" s="156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</row>
    <row r="19" spans="1:39">
      <c r="A19" s="156">
        <v>2069</v>
      </c>
      <c r="B19" s="43">
        <v>659.3968439135225</v>
      </c>
      <c r="C19" s="43">
        <v>705.99233823717611</v>
      </c>
      <c r="D19" s="152">
        <v>773.93995764497947</v>
      </c>
      <c r="E19" s="43">
        <v>923.52499147552169</v>
      </c>
      <c r="F19" s="43"/>
      <c r="G19" s="43"/>
      <c r="H19" s="152"/>
      <c r="I19" s="43"/>
      <c r="J19" s="43">
        <f>D19/CPI!$S$141</f>
        <v>378.3181285996717</v>
      </c>
      <c r="K19" s="43"/>
      <c r="L19" s="43"/>
      <c r="M19" s="43"/>
      <c r="N19" s="43"/>
      <c r="O19" s="43"/>
      <c r="P19" s="43"/>
      <c r="Q19" s="43"/>
      <c r="R19" s="156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</row>
    <row r="20" spans="1:39">
      <c r="A20" s="156">
        <v>2070</v>
      </c>
      <c r="B20" s="43">
        <v>17.683446864766527</v>
      </c>
      <c r="C20" s="43">
        <v>18.933026621805702</v>
      </c>
      <c r="D20" s="152">
        <v>20.755219324843342</v>
      </c>
      <c r="E20" s="43">
        <v>24.766732303594576</v>
      </c>
      <c r="F20" s="43"/>
      <c r="G20" s="43"/>
      <c r="H20" s="152"/>
      <c r="I20" s="43"/>
      <c r="J20" s="43">
        <f>D20/CPI!S142</f>
        <v>10.050504061022906</v>
      </c>
      <c r="K20" s="43"/>
      <c r="L20" s="43"/>
      <c r="M20" s="43"/>
      <c r="N20" s="43"/>
      <c r="O20" s="43"/>
      <c r="P20" s="43"/>
      <c r="Q20" s="43"/>
      <c r="R20" s="156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</row>
    <row r="21" spans="1:39">
      <c r="B21" s="43"/>
      <c r="C21" s="43"/>
      <c r="D21" s="152"/>
      <c r="E21" s="43"/>
      <c r="K21" s="43"/>
      <c r="L21" s="43"/>
      <c r="M21" s="43"/>
      <c r="N21" s="43"/>
      <c r="O21" s="43"/>
      <c r="P21" s="43"/>
      <c r="Q21" s="43"/>
    </row>
    <row r="22" spans="1:39">
      <c r="K22" s="43"/>
      <c r="L22" s="43"/>
      <c r="M22" s="43"/>
      <c r="N22" s="43"/>
      <c r="O22" s="43"/>
      <c r="P22" s="43"/>
      <c r="Q22" s="43"/>
    </row>
    <row r="23" spans="1:39">
      <c r="A23" s="238" t="s">
        <v>211</v>
      </c>
      <c r="B23" s="238"/>
      <c r="C23" s="238"/>
      <c r="D23" s="238"/>
      <c r="E23" s="238"/>
      <c r="K23" s="43"/>
      <c r="L23" s="43"/>
      <c r="M23" s="43"/>
      <c r="N23" s="43"/>
      <c r="O23" s="43"/>
      <c r="P23" s="43"/>
      <c r="Q23" s="43"/>
    </row>
    <row r="24" spans="1:39">
      <c r="A24" s="118" t="s">
        <v>6</v>
      </c>
      <c r="B24" s="118" t="s">
        <v>215</v>
      </c>
      <c r="C24" s="118" t="s">
        <v>218</v>
      </c>
      <c r="D24" s="153" t="s">
        <v>216</v>
      </c>
      <c r="E24" s="118" t="s">
        <v>217</v>
      </c>
      <c r="K24" s="43"/>
      <c r="L24" s="43"/>
      <c r="M24" s="43"/>
      <c r="N24" s="43"/>
      <c r="O24" s="43"/>
      <c r="P24" s="43"/>
      <c r="Q24" s="43"/>
    </row>
    <row r="25" spans="1:39">
      <c r="A25" s="118">
        <v>2019</v>
      </c>
      <c r="B25" s="151">
        <v>3.6125548356623844</v>
      </c>
      <c r="C25" s="151">
        <v>3.8678317298312468</v>
      </c>
      <c r="D25" s="154">
        <v>4.2400878352844886</v>
      </c>
      <c r="E25" s="151">
        <v>5.0596006101714064</v>
      </c>
      <c r="K25" s="43">
        <f t="shared" ref="K25:K38" si="10">D25*1000</f>
        <v>4240.0878352844884</v>
      </c>
      <c r="L25" s="43">
        <f t="shared" ref="L25:L38" si="11">2000*D25</f>
        <v>8480.1756705689768</v>
      </c>
      <c r="M25" s="43">
        <f>2500*D25</f>
        <v>10600.219588211221</v>
      </c>
      <c r="N25" s="43">
        <f t="shared" ref="N25:N38" si="12">5000*D25</f>
        <v>21200.439176422442</v>
      </c>
      <c r="O25" s="43">
        <f t="shared" ref="O25:O38" si="13">10000*D25</f>
        <v>42400.878352844884</v>
      </c>
      <c r="P25" s="43">
        <f t="shared" ref="P25:P38" si="14">15000*D25</f>
        <v>63601.317529267326</v>
      </c>
      <c r="Q25" s="43">
        <f t="shared" ref="Q25:Q38" si="15">20000*D25</f>
        <v>84801.756705689768</v>
      </c>
      <c r="S25" s="43">
        <f>K25/48000</f>
        <v>8.8335163235093508E-2</v>
      </c>
      <c r="T25" s="43">
        <f t="shared" ref="T25:Y38" si="16">L25/48000</f>
        <v>0.17667032647018702</v>
      </c>
      <c r="U25" s="43">
        <f t="shared" si="16"/>
        <v>0.22083790808773376</v>
      </c>
      <c r="V25" s="43">
        <f t="shared" si="16"/>
        <v>0.44167581617546753</v>
      </c>
      <c r="W25" s="43">
        <f t="shared" si="16"/>
        <v>0.88335163235093506</v>
      </c>
      <c r="X25" s="43">
        <f t="shared" si="16"/>
        <v>1.3250274485264026</v>
      </c>
      <c r="Y25" s="43">
        <f t="shared" si="16"/>
        <v>1.7667032647018701</v>
      </c>
    </row>
    <row r="26" spans="1:39">
      <c r="A26" s="118">
        <v>2020</v>
      </c>
      <c r="B26" s="151">
        <v>10.175440383303361</v>
      </c>
      <c r="C26" s="151">
        <v>10.89447578512137</v>
      </c>
      <c r="D26" s="154">
        <v>11.943005144722255</v>
      </c>
      <c r="E26" s="151">
        <v>14.251317063450085</v>
      </c>
      <c r="K26" s="43">
        <f t="shared" si="10"/>
        <v>11943.005144722254</v>
      </c>
      <c r="L26" s="43">
        <f t="shared" si="11"/>
        <v>23886.010289444508</v>
      </c>
      <c r="M26" s="43">
        <f t="shared" ref="M26:M38" si="17">2500*D26</f>
        <v>29857.512861805637</v>
      </c>
      <c r="N26" s="43">
        <f t="shared" si="12"/>
        <v>59715.025723611274</v>
      </c>
      <c r="O26" s="43">
        <f t="shared" si="13"/>
        <v>119430.05144722255</v>
      </c>
      <c r="P26" s="43">
        <f t="shared" si="14"/>
        <v>179145.07717083383</v>
      </c>
      <c r="Q26" s="43">
        <f t="shared" si="15"/>
        <v>238860.1028944451</v>
      </c>
      <c r="S26" s="43">
        <f t="shared" ref="S26:S38" si="18">K26/48000</f>
        <v>0.24881260718171364</v>
      </c>
      <c r="T26" s="43">
        <f t="shared" si="16"/>
        <v>0.49762521436342727</v>
      </c>
      <c r="U26" s="43">
        <f t="shared" si="16"/>
        <v>0.62203151795428413</v>
      </c>
      <c r="V26" s="43">
        <f t="shared" si="16"/>
        <v>1.2440630359085683</v>
      </c>
      <c r="W26" s="43">
        <f t="shared" si="16"/>
        <v>2.4881260718171365</v>
      </c>
      <c r="X26" s="43">
        <f t="shared" si="16"/>
        <v>3.7321891077257048</v>
      </c>
      <c r="Y26" s="43">
        <f t="shared" si="16"/>
        <v>4.976252143634273</v>
      </c>
    </row>
    <row r="27" spans="1:39">
      <c r="A27" s="118">
        <v>2021</v>
      </c>
      <c r="B27" s="151">
        <v>29.621308103793254</v>
      </c>
      <c r="C27" s="151">
        <v>31.714462637894275</v>
      </c>
      <c r="D27" s="154">
        <v>34.766793549053119</v>
      </c>
      <c r="E27" s="151">
        <v>41.486425915676826</v>
      </c>
      <c r="K27" s="43">
        <f t="shared" si="10"/>
        <v>34766.793549053116</v>
      </c>
      <c r="L27" s="43">
        <f t="shared" si="11"/>
        <v>69533.587098106233</v>
      </c>
      <c r="M27" s="43">
        <f t="shared" si="17"/>
        <v>86916.983872632802</v>
      </c>
      <c r="N27" s="43">
        <f t="shared" si="12"/>
        <v>173833.9677452656</v>
      </c>
      <c r="O27" s="43">
        <f t="shared" si="13"/>
        <v>347667.93549053121</v>
      </c>
      <c r="P27" s="43">
        <f t="shared" si="14"/>
        <v>521501.90323579678</v>
      </c>
      <c r="Q27" s="43">
        <f t="shared" si="15"/>
        <v>695335.87098106241</v>
      </c>
      <c r="S27" s="43">
        <f t="shared" si="18"/>
        <v>0.72430819893860654</v>
      </c>
      <c r="T27" s="43">
        <f t="shared" si="16"/>
        <v>1.4486163978772131</v>
      </c>
      <c r="U27" s="43">
        <f t="shared" si="16"/>
        <v>1.8107704973465166</v>
      </c>
      <c r="V27" s="43">
        <f t="shared" si="16"/>
        <v>3.6215409946930333</v>
      </c>
      <c r="W27" s="43">
        <f t="shared" si="16"/>
        <v>7.2430819893860665</v>
      </c>
      <c r="X27" s="43">
        <f t="shared" si="16"/>
        <v>10.8646229840791</v>
      </c>
      <c r="Y27" s="43">
        <f t="shared" si="16"/>
        <v>14.486163978772133</v>
      </c>
    </row>
    <row r="28" spans="1:39">
      <c r="A28" s="118">
        <v>2022</v>
      </c>
      <c r="B28" s="151">
        <v>70.219990298499326</v>
      </c>
      <c r="C28" s="151">
        <v>75.182002460920046</v>
      </c>
      <c r="D28" s="154">
        <v>82.417828988848967</v>
      </c>
      <c r="E28" s="151">
        <v>98.347325348038268</v>
      </c>
      <c r="K28" s="43">
        <f t="shared" si="10"/>
        <v>82417.828988848967</v>
      </c>
      <c r="L28" s="43">
        <f t="shared" si="11"/>
        <v>164835.65797769793</v>
      </c>
      <c r="M28" s="43">
        <f t="shared" si="17"/>
        <v>206044.57247212241</v>
      </c>
      <c r="N28" s="43">
        <f t="shared" si="12"/>
        <v>412089.14494424482</v>
      </c>
      <c r="O28" s="43">
        <f t="shared" si="13"/>
        <v>824178.28988848964</v>
      </c>
      <c r="P28" s="43">
        <f t="shared" si="14"/>
        <v>1236267.4348327345</v>
      </c>
      <c r="Q28" s="43">
        <f t="shared" si="15"/>
        <v>1648356.5797769793</v>
      </c>
      <c r="S28" s="43">
        <f t="shared" si="18"/>
        <v>1.7170381039343534</v>
      </c>
      <c r="T28" s="43">
        <f t="shared" si="16"/>
        <v>3.4340762078687068</v>
      </c>
      <c r="U28" s="43">
        <f t="shared" si="16"/>
        <v>4.2925952598358839</v>
      </c>
      <c r="V28" s="43">
        <f t="shared" si="16"/>
        <v>8.5851905196717677</v>
      </c>
      <c r="W28" s="43">
        <f t="shared" si="16"/>
        <v>17.170381039343535</v>
      </c>
      <c r="X28" s="43">
        <f t="shared" si="16"/>
        <v>25.755571559015301</v>
      </c>
      <c r="Y28" s="43">
        <f t="shared" si="16"/>
        <v>34.340762078687071</v>
      </c>
    </row>
    <row r="29" spans="1:39">
      <c r="A29" s="118">
        <v>2023</v>
      </c>
      <c r="B29" s="151">
        <v>160.1386488188283</v>
      </c>
      <c r="C29" s="151">
        <v>171.45465612294248</v>
      </c>
      <c r="D29" s="154">
        <v>187.95616058547921</v>
      </c>
      <c r="E29" s="151">
        <v>224.28382187510965</v>
      </c>
      <c r="K29" s="43">
        <f t="shared" si="10"/>
        <v>187956.1605854792</v>
      </c>
      <c r="L29" s="43">
        <f t="shared" si="11"/>
        <v>375912.3211709584</v>
      </c>
      <c r="M29" s="43">
        <f t="shared" si="17"/>
        <v>469890.40146369801</v>
      </c>
      <c r="N29" s="43">
        <f t="shared" si="12"/>
        <v>939780.80292739603</v>
      </c>
      <c r="O29" s="43">
        <f t="shared" si="13"/>
        <v>1879561.6058547921</v>
      </c>
      <c r="P29" s="43">
        <f t="shared" si="14"/>
        <v>2819342.4087821883</v>
      </c>
      <c r="Q29" s="43">
        <f t="shared" si="15"/>
        <v>3759123.2117095841</v>
      </c>
      <c r="S29" s="43">
        <f t="shared" si="18"/>
        <v>3.9157533455308164</v>
      </c>
      <c r="T29" s="43">
        <f t="shared" si="16"/>
        <v>7.8315066910616329</v>
      </c>
      <c r="U29" s="43">
        <f t="shared" si="16"/>
        <v>9.7893833638270422</v>
      </c>
      <c r="V29" s="43">
        <f t="shared" si="16"/>
        <v>19.578766727654084</v>
      </c>
      <c r="W29" s="43">
        <f t="shared" si="16"/>
        <v>39.157533455308169</v>
      </c>
      <c r="X29" s="43">
        <f t="shared" si="16"/>
        <v>58.736300182962253</v>
      </c>
      <c r="Y29" s="43">
        <f t="shared" si="16"/>
        <v>78.315066910616338</v>
      </c>
    </row>
    <row r="30" spans="1:39">
      <c r="A30" s="118">
        <v>2024</v>
      </c>
      <c r="B30" s="151">
        <v>160.1386488188283</v>
      </c>
      <c r="C30" s="151">
        <v>171.45465612294248</v>
      </c>
      <c r="D30" s="154">
        <v>187.95616058547921</v>
      </c>
      <c r="E30" s="151">
        <v>224.28382187510965</v>
      </c>
      <c r="K30" s="43">
        <f t="shared" si="10"/>
        <v>187956.1605854792</v>
      </c>
      <c r="L30" s="43">
        <f t="shared" si="11"/>
        <v>375912.3211709584</v>
      </c>
      <c r="M30" s="43">
        <f t="shared" si="17"/>
        <v>469890.40146369801</v>
      </c>
      <c r="N30" s="43">
        <f t="shared" si="12"/>
        <v>939780.80292739603</v>
      </c>
      <c r="O30" s="43">
        <f t="shared" si="13"/>
        <v>1879561.6058547921</v>
      </c>
      <c r="P30" s="43">
        <f t="shared" si="14"/>
        <v>2819342.4087821883</v>
      </c>
      <c r="Q30" s="43">
        <f t="shared" si="15"/>
        <v>3759123.2117095841</v>
      </c>
      <c r="S30" s="43">
        <f t="shared" si="18"/>
        <v>3.9157533455308164</v>
      </c>
      <c r="T30" s="43">
        <f t="shared" si="16"/>
        <v>7.8315066910616329</v>
      </c>
      <c r="U30" s="43">
        <f t="shared" si="16"/>
        <v>9.7893833638270422</v>
      </c>
      <c r="V30" s="43">
        <f t="shared" si="16"/>
        <v>19.578766727654084</v>
      </c>
      <c r="W30" s="43">
        <f t="shared" si="16"/>
        <v>39.157533455308169</v>
      </c>
      <c r="X30" s="43">
        <f t="shared" si="16"/>
        <v>58.736300182962253</v>
      </c>
      <c r="Y30" s="43">
        <f t="shared" si="16"/>
        <v>78.315066910616338</v>
      </c>
    </row>
    <row r="31" spans="1:39">
      <c r="A31" s="118">
        <v>2025</v>
      </c>
      <c r="B31" s="151">
        <v>366.49145270353171</v>
      </c>
      <c r="C31" s="151">
        <v>392.3891356568862</v>
      </c>
      <c r="D31" s="154">
        <v>430.15428721071794</v>
      </c>
      <c r="E31" s="151">
        <v>513.29335112539457</v>
      </c>
      <c r="K31" s="43">
        <f t="shared" si="10"/>
        <v>430154.28721071791</v>
      </c>
      <c r="L31" s="43">
        <f t="shared" si="11"/>
        <v>860308.57442143583</v>
      </c>
      <c r="M31" s="43">
        <f t="shared" si="17"/>
        <v>1075385.718026795</v>
      </c>
      <c r="N31" s="43">
        <f t="shared" si="12"/>
        <v>2150771.4360535899</v>
      </c>
      <c r="O31" s="43">
        <f t="shared" si="13"/>
        <v>4301542.8721071798</v>
      </c>
      <c r="P31" s="43">
        <f t="shared" si="14"/>
        <v>6452314.3081607688</v>
      </c>
      <c r="Q31" s="43">
        <f t="shared" si="15"/>
        <v>8603085.7442143597</v>
      </c>
      <c r="S31" s="43">
        <f t="shared" si="18"/>
        <v>8.9615476502232898</v>
      </c>
      <c r="T31" s="43">
        <f t="shared" si="16"/>
        <v>17.92309530044658</v>
      </c>
      <c r="U31" s="43">
        <f t="shared" si="16"/>
        <v>22.403869125558227</v>
      </c>
      <c r="V31" s="43">
        <f t="shared" si="16"/>
        <v>44.807738251116454</v>
      </c>
      <c r="W31" s="43">
        <f t="shared" si="16"/>
        <v>89.615476502232909</v>
      </c>
      <c r="X31" s="43">
        <f t="shared" si="16"/>
        <v>134.42321475334936</v>
      </c>
      <c r="Y31" s="43">
        <f t="shared" si="16"/>
        <v>179.23095300446582</v>
      </c>
    </row>
    <row r="32" spans="1:39">
      <c r="A32" s="118">
        <v>2026</v>
      </c>
      <c r="B32" s="151">
        <v>366.49145270353171</v>
      </c>
      <c r="C32" s="151">
        <v>392.3891356568862</v>
      </c>
      <c r="D32" s="154">
        <v>430.15428721071794</v>
      </c>
      <c r="E32" s="151">
        <v>513.29335112539457</v>
      </c>
      <c r="K32" s="43">
        <f t="shared" si="10"/>
        <v>430154.28721071791</v>
      </c>
      <c r="L32" s="43">
        <f t="shared" si="11"/>
        <v>860308.57442143583</v>
      </c>
      <c r="M32" s="43">
        <f t="shared" si="17"/>
        <v>1075385.718026795</v>
      </c>
      <c r="N32" s="43">
        <f t="shared" si="12"/>
        <v>2150771.4360535899</v>
      </c>
      <c r="O32" s="43">
        <f t="shared" si="13"/>
        <v>4301542.8721071798</v>
      </c>
      <c r="P32" s="43">
        <f t="shared" si="14"/>
        <v>6452314.3081607688</v>
      </c>
      <c r="Q32" s="43">
        <f t="shared" si="15"/>
        <v>8603085.7442143597</v>
      </c>
      <c r="S32" s="43">
        <f t="shared" si="18"/>
        <v>8.9615476502232898</v>
      </c>
      <c r="T32" s="43">
        <f t="shared" si="16"/>
        <v>17.92309530044658</v>
      </c>
      <c r="U32" s="43">
        <f t="shared" si="16"/>
        <v>22.403869125558227</v>
      </c>
      <c r="V32" s="43">
        <f t="shared" si="16"/>
        <v>44.807738251116454</v>
      </c>
      <c r="W32" s="43">
        <f t="shared" si="16"/>
        <v>89.615476502232909</v>
      </c>
      <c r="X32" s="43">
        <f t="shared" si="16"/>
        <v>134.42321475334936</v>
      </c>
      <c r="Y32" s="43">
        <f t="shared" si="16"/>
        <v>179.23095300446582</v>
      </c>
    </row>
    <row r="33" spans="1:39">
      <c r="A33" s="118">
        <v>2027</v>
      </c>
      <c r="B33" s="151">
        <v>366.49145270353171</v>
      </c>
      <c r="C33" s="151">
        <v>392.3891356568862</v>
      </c>
      <c r="D33" s="154">
        <v>430.15428721071794</v>
      </c>
      <c r="E33" s="151">
        <v>513.29335112539457</v>
      </c>
      <c r="K33" s="43">
        <f t="shared" si="10"/>
        <v>430154.28721071791</v>
      </c>
      <c r="L33" s="43">
        <f t="shared" si="11"/>
        <v>860308.57442143583</v>
      </c>
      <c r="M33" s="43">
        <f t="shared" si="17"/>
        <v>1075385.718026795</v>
      </c>
      <c r="N33" s="43">
        <f t="shared" si="12"/>
        <v>2150771.4360535899</v>
      </c>
      <c r="O33" s="43">
        <f t="shared" si="13"/>
        <v>4301542.8721071798</v>
      </c>
      <c r="P33" s="43">
        <f t="shared" si="14"/>
        <v>6452314.3081607688</v>
      </c>
      <c r="Q33" s="43">
        <f t="shared" si="15"/>
        <v>8603085.7442143597</v>
      </c>
      <c r="S33" s="43">
        <f t="shared" si="18"/>
        <v>8.9615476502232898</v>
      </c>
      <c r="T33" s="43">
        <f t="shared" si="16"/>
        <v>17.92309530044658</v>
      </c>
      <c r="U33" s="43">
        <f t="shared" si="16"/>
        <v>22.403869125558227</v>
      </c>
      <c r="V33" s="43">
        <f t="shared" si="16"/>
        <v>44.807738251116454</v>
      </c>
      <c r="W33" s="43">
        <f t="shared" si="16"/>
        <v>89.615476502232909</v>
      </c>
      <c r="X33" s="43">
        <f t="shared" si="16"/>
        <v>134.42321475334936</v>
      </c>
      <c r="Y33" s="43">
        <f t="shared" si="16"/>
        <v>179.23095300446582</v>
      </c>
    </row>
    <row r="34" spans="1:39">
      <c r="A34" s="118">
        <v>2028</v>
      </c>
      <c r="B34" s="151">
        <v>574.40759024019678</v>
      </c>
      <c r="C34" s="151">
        <v>614.99741995738407</v>
      </c>
      <c r="D34" s="154">
        <v>674.18731248849383</v>
      </c>
      <c r="E34" s="151">
        <v>804.49242330559775</v>
      </c>
      <c r="K34" s="43">
        <f t="shared" si="10"/>
        <v>674187.31248849386</v>
      </c>
      <c r="L34" s="43">
        <f t="shared" si="11"/>
        <v>1348374.6249769877</v>
      </c>
      <c r="M34" s="43">
        <f t="shared" si="17"/>
        <v>1685468.2812212345</v>
      </c>
      <c r="N34" s="43">
        <f t="shared" si="12"/>
        <v>3370936.5624424689</v>
      </c>
      <c r="O34" s="43">
        <f t="shared" si="13"/>
        <v>6741873.1248849379</v>
      </c>
      <c r="P34" s="43">
        <f t="shared" si="14"/>
        <v>10112809.687327407</v>
      </c>
      <c r="Q34" s="43">
        <f t="shared" si="15"/>
        <v>13483746.249769876</v>
      </c>
      <c r="S34" s="43">
        <f t="shared" si="18"/>
        <v>14.045569010176955</v>
      </c>
      <c r="T34" s="43">
        <f t="shared" si="16"/>
        <v>28.09113802035391</v>
      </c>
      <c r="U34" s="43">
        <f t="shared" si="16"/>
        <v>35.113922525442383</v>
      </c>
      <c r="V34" s="43">
        <f t="shared" si="16"/>
        <v>70.227845050884767</v>
      </c>
      <c r="W34" s="43">
        <f t="shared" si="16"/>
        <v>140.45569010176953</v>
      </c>
      <c r="X34" s="43">
        <f t="shared" si="16"/>
        <v>210.68353515265431</v>
      </c>
      <c r="Y34" s="43">
        <f t="shared" si="16"/>
        <v>280.91138020353907</v>
      </c>
    </row>
    <row r="35" spans="1:39">
      <c r="A35" s="118">
        <v>2029</v>
      </c>
      <c r="B35" s="151">
        <v>574.40759024019678</v>
      </c>
      <c r="C35" s="151">
        <v>614.99741995738407</v>
      </c>
      <c r="D35" s="154">
        <v>674.18731248849383</v>
      </c>
      <c r="E35" s="151">
        <v>804.49242330559775</v>
      </c>
      <c r="K35" s="43">
        <f t="shared" si="10"/>
        <v>674187.31248849386</v>
      </c>
      <c r="L35" s="43">
        <f t="shared" si="11"/>
        <v>1348374.6249769877</v>
      </c>
      <c r="M35" s="43">
        <f t="shared" si="17"/>
        <v>1685468.2812212345</v>
      </c>
      <c r="N35" s="43">
        <f t="shared" si="12"/>
        <v>3370936.5624424689</v>
      </c>
      <c r="O35" s="43">
        <f t="shared" si="13"/>
        <v>6741873.1248849379</v>
      </c>
      <c r="P35" s="43">
        <f t="shared" si="14"/>
        <v>10112809.687327407</v>
      </c>
      <c r="Q35" s="43">
        <f t="shared" si="15"/>
        <v>13483746.249769876</v>
      </c>
      <c r="S35" s="43">
        <f t="shared" si="18"/>
        <v>14.045569010176955</v>
      </c>
      <c r="T35" s="43">
        <f t="shared" si="16"/>
        <v>28.09113802035391</v>
      </c>
      <c r="U35" s="43">
        <f t="shared" si="16"/>
        <v>35.113922525442383</v>
      </c>
      <c r="V35" s="43">
        <f t="shared" si="16"/>
        <v>70.227845050884767</v>
      </c>
      <c r="W35" s="43">
        <f t="shared" si="16"/>
        <v>140.45569010176953</v>
      </c>
      <c r="X35" s="43">
        <f t="shared" si="16"/>
        <v>210.68353515265431</v>
      </c>
      <c r="Y35" s="43">
        <f t="shared" si="16"/>
        <v>280.91138020353907</v>
      </c>
    </row>
    <row r="36" spans="1:39">
      <c r="A36" s="118">
        <v>2030</v>
      </c>
      <c r="B36" s="151">
        <v>743.59775627465751</v>
      </c>
      <c r="C36" s="151">
        <v>796.14320800284531</v>
      </c>
      <c r="D36" s="154">
        <v>872.76731957119432</v>
      </c>
      <c r="E36" s="151">
        <v>1041.4534401605847</v>
      </c>
      <c r="K36" s="43">
        <f t="shared" si="10"/>
        <v>872767.31957119436</v>
      </c>
      <c r="L36" s="43">
        <f t="shared" si="11"/>
        <v>1745534.6391423887</v>
      </c>
      <c r="M36" s="43">
        <f t="shared" si="17"/>
        <v>2181918.2989279856</v>
      </c>
      <c r="N36" s="43">
        <f t="shared" si="12"/>
        <v>4363836.5978559712</v>
      </c>
      <c r="O36" s="43">
        <f t="shared" si="13"/>
        <v>8727673.1957119424</v>
      </c>
      <c r="P36" s="43">
        <f t="shared" si="14"/>
        <v>13091509.793567915</v>
      </c>
      <c r="Q36" s="43">
        <f t="shared" si="15"/>
        <v>17455346.391423885</v>
      </c>
      <c r="S36" s="43">
        <f t="shared" si="18"/>
        <v>18.182652491066548</v>
      </c>
      <c r="T36" s="43">
        <f t="shared" si="16"/>
        <v>36.365304982133097</v>
      </c>
      <c r="U36" s="43">
        <f t="shared" si="16"/>
        <v>45.456631227666364</v>
      </c>
      <c r="V36" s="43">
        <f t="shared" si="16"/>
        <v>90.913262455332728</v>
      </c>
      <c r="W36" s="43">
        <f t="shared" si="16"/>
        <v>181.82652491066546</v>
      </c>
      <c r="X36" s="43">
        <f t="shared" si="16"/>
        <v>272.73978736599821</v>
      </c>
      <c r="Y36" s="43">
        <f t="shared" si="16"/>
        <v>363.65304982133091</v>
      </c>
    </row>
    <row r="37" spans="1:39">
      <c r="A37" s="118">
        <v>2031</v>
      </c>
      <c r="B37" s="151">
        <v>945.19190563084521</v>
      </c>
      <c r="C37" s="151">
        <v>1011.982768341376</v>
      </c>
      <c r="D37" s="154">
        <v>1109.380170928222</v>
      </c>
      <c r="E37" s="151">
        <v>1323.7981871580464</v>
      </c>
      <c r="K37" s="43">
        <f t="shared" si="10"/>
        <v>1109380.1709282221</v>
      </c>
      <c r="L37" s="43">
        <f t="shared" si="11"/>
        <v>2218760.3418564443</v>
      </c>
      <c r="M37" s="43">
        <f t="shared" si="17"/>
        <v>2773450.4273205549</v>
      </c>
      <c r="N37" s="43">
        <f t="shared" si="12"/>
        <v>5546900.8546411097</v>
      </c>
      <c r="O37" s="43">
        <f t="shared" si="13"/>
        <v>11093801.709282219</v>
      </c>
      <c r="P37" s="43">
        <f t="shared" si="14"/>
        <v>16640702.563923331</v>
      </c>
      <c r="Q37" s="43">
        <f t="shared" si="15"/>
        <v>22187603.418564439</v>
      </c>
      <c r="S37" s="43">
        <f t="shared" si="18"/>
        <v>23.11208689433796</v>
      </c>
      <c r="T37" s="43">
        <f t="shared" si="16"/>
        <v>46.22417378867592</v>
      </c>
      <c r="U37" s="43">
        <f t="shared" si="16"/>
        <v>57.780217235844894</v>
      </c>
      <c r="V37" s="43">
        <f t="shared" si="16"/>
        <v>115.56043447168979</v>
      </c>
      <c r="W37" s="43">
        <f t="shared" si="16"/>
        <v>231.12086894337958</v>
      </c>
      <c r="X37" s="43">
        <f t="shared" si="16"/>
        <v>346.68130341506941</v>
      </c>
      <c r="Y37" s="43">
        <f t="shared" si="16"/>
        <v>462.24173788675915</v>
      </c>
    </row>
    <row r="38" spans="1:39">
      <c r="A38" s="118">
        <v>2060</v>
      </c>
      <c r="B38" s="151">
        <v>945.19190563084521</v>
      </c>
      <c r="C38" s="151">
        <v>1011.982768341376</v>
      </c>
      <c r="D38" s="154">
        <v>1109.380170928222</v>
      </c>
      <c r="E38" s="151">
        <v>1323.7981871580464</v>
      </c>
      <c r="K38" s="43">
        <f t="shared" si="10"/>
        <v>1109380.1709282221</v>
      </c>
      <c r="L38" s="43">
        <f t="shared" si="11"/>
        <v>2218760.3418564443</v>
      </c>
      <c r="M38" s="43">
        <f t="shared" si="17"/>
        <v>2773450.4273205549</v>
      </c>
      <c r="N38" s="43">
        <f t="shared" si="12"/>
        <v>5546900.8546411097</v>
      </c>
      <c r="O38" s="43">
        <f t="shared" si="13"/>
        <v>11093801.709282219</v>
      </c>
      <c r="P38" s="43">
        <f t="shared" si="14"/>
        <v>16640702.563923331</v>
      </c>
      <c r="Q38" s="43">
        <f t="shared" si="15"/>
        <v>22187603.418564439</v>
      </c>
      <c r="S38" s="43">
        <f t="shared" si="18"/>
        <v>23.11208689433796</v>
      </c>
      <c r="T38" s="43">
        <f t="shared" si="16"/>
        <v>46.22417378867592</v>
      </c>
      <c r="U38" s="43">
        <f t="shared" si="16"/>
        <v>57.780217235844894</v>
      </c>
      <c r="V38" s="43">
        <f t="shared" si="16"/>
        <v>115.56043447168979</v>
      </c>
      <c r="W38" s="43">
        <f t="shared" si="16"/>
        <v>231.12086894337958</v>
      </c>
      <c r="X38" s="43">
        <f t="shared" si="16"/>
        <v>346.68130341506941</v>
      </c>
      <c r="Y38" s="43">
        <f t="shared" si="16"/>
        <v>462.24173788675915</v>
      </c>
    </row>
    <row r="39" spans="1:39">
      <c r="A39" s="157">
        <v>2061</v>
      </c>
      <c r="B39" s="151">
        <v>844.36145904260991</v>
      </c>
      <c r="C39" s="151">
        <v>904.02725807559943</v>
      </c>
      <c r="D39" s="154">
        <v>991.03457634109134</v>
      </c>
      <c r="E39" s="151">
        <v>1182.5790742893696</v>
      </c>
      <c r="F39" s="156"/>
      <c r="G39" s="156"/>
      <c r="H39" s="156"/>
      <c r="I39" s="156"/>
      <c r="J39" s="156"/>
      <c r="K39" s="43">
        <f t="shared" ref="K39:K41" si="19">D39*1000</f>
        <v>991034.57634109131</v>
      </c>
      <c r="L39" s="43">
        <f t="shared" ref="L39:L41" si="20">2000*D39</f>
        <v>1982069.1526821826</v>
      </c>
      <c r="M39" s="43">
        <f t="shared" ref="M39:M41" si="21">2500*D39</f>
        <v>2477586.4408527282</v>
      </c>
      <c r="N39" s="43">
        <f t="shared" ref="N39:N41" si="22">5000*D39</f>
        <v>4955172.8817054564</v>
      </c>
      <c r="O39" s="43">
        <f t="shared" ref="O39:O41" si="23">10000*D39</f>
        <v>9910345.7634109128</v>
      </c>
      <c r="P39" s="43">
        <f t="shared" ref="P39:P41" si="24">15000*D39</f>
        <v>14865518.64511637</v>
      </c>
      <c r="Q39" s="43">
        <f t="shared" ref="Q39:Q41" si="25">20000*D39</f>
        <v>19820691.526821826</v>
      </c>
      <c r="R39" s="156"/>
      <c r="S39" s="43">
        <f t="shared" ref="S39:S41" si="26">K39/48000</f>
        <v>20.646553673772736</v>
      </c>
      <c r="T39" s="43">
        <f t="shared" ref="T39:T41" si="27">L39/48000</f>
        <v>41.293107347545472</v>
      </c>
      <c r="U39" s="43">
        <f t="shared" ref="U39:U41" si="28">M39/48000</f>
        <v>51.616384184431837</v>
      </c>
      <c r="V39" s="43">
        <f t="shared" ref="V39:V41" si="29">N39/48000</f>
        <v>103.23276836886367</v>
      </c>
      <c r="W39" s="43">
        <f t="shared" ref="W39:W41" si="30">O39/48000</f>
        <v>206.46553673772735</v>
      </c>
      <c r="X39" s="43">
        <f t="shared" ref="X39:X41" si="31">P39/48000</f>
        <v>309.69830510659102</v>
      </c>
      <c r="Y39" s="43">
        <f t="shared" ref="Y39:Y41" si="32">Q39/48000</f>
        <v>412.9310734754547</v>
      </c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</row>
    <row r="40" spans="1:39">
      <c r="A40" s="157">
        <v>2070</v>
      </c>
      <c r="B40" s="151">
        <v>844.36145904260991</v>
      </c>
      <c r="C40" s="151">
        <v>904.02725807559943</v>
      </c>
      <c r="D40" s="154">
        <v>991.03457634109134</v>
      </c>
      <c r="E40" s="151">
        <v>1182.5790742893696</v>
      </c>
      <c r="F40" s="156"/>
      <c r="G40" s="156"/>
      <c r="H40" s="156"/>
      <c r="I40" s="156"/>
      <c r="J40" s="156"/>
      <c r="K40" s="43">
        <f t="shared" si="19"/>
        <v>991034.57634109131</v>
      </c>
      <c r="L40" s="43">
        <f t="shared" si="20"/>
        <v>1982069.1526821826</v>
      </c>
      <c r="M40" s="43">
        <f t="shared" si="21"/>
        <v>2477586.4408527282</v>
      </c>
      <c r="N40" s="43">
        <f t="shared" si="22"/>
        <v>4955172.8817054564</v>
      </c>
      <c r="O40" s="43">
        <f t="shared" si="23"/>
        <v>9910345.7634109128</v>
      </c>
      <c r="P40" s="43">
        <f t="shared" si="24"/>
        <v>14865518.64511637</v>
      </c>
      <c r="Q40" s="43">
        <f t="shared" si="25"/>
        <v>19820691.526821826</v>
      </c>
      <c r="R40" s="156"/>
      <c r="S40" s="43">
        <f t="shared" si="26"/>
        <v>20.646553673772736</v>
      </c>
      <c r="T40" s="43">
        <f t="shared" si="27"/>
        <v>41.293107347545472</v>
      </c>
      <c r="U40" s="43">
        <f t="shared" si="28"/>
        <v>51.616384184431837</v>
      </c>
      <c r="V40" s="43">
        <f t="shared" si="29"/>
        <v>103.23276836886367</v>
      </c>
      <c r="W40" s="43">
        <f t="shared" si="30"/>
        <v>206.46553673772735</v>
      </c>
      <c r="X40" s="43">
        <f t="shared" si="31"/>
        <v>309.69830510659102</v>
      </c>
      <c r="Y40" s="43">
        <f t="shared" si="32"/>
        <v>412.9310734754547</v>
      </c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</row>
    <row r="41" spans="1:39">
      <c r="A41" s="157">
        <v>2071</v>
      </c>
      <c r="B41" s="151">
        <v>17.68344451182535</v>
      </c>
      <c r="C41" s="151">
        <v>18.933024102596736</v>
      </c>
      <c r="D41" s="154">
        <v>20.755216563175292</v>
      </c>
      <c r="E41" s="151">
        <v>24.766729008158755</v>
      </c>
      <c r="K41" s="43">
        <f t="shared" si="19"/>
        <v>20755.216563175291</v>
      </c>
      <c r="L41" s="43">
        <f t="shared" si="20"/>
        <v>41510.433126350581</v>
      </c>
      <c r="M41" s="43">
        <f t="shared" si="21"/>
        <v>51888.041407938232</v>
      </c>
      <c r="N41" s="43">
        <f t="shared" si="22"/>
        <v>103776.08281587646</v>
      </c>
      <c r="O41" s="43">
        <f t="shared" si="23"/>
        <v>207552.16563175293</v>
      </c>
      <c r="P41" s="43">
        <f t="shared" si="24"/>
        <v>311328.24844762939</v>
      </c>
      <c r="Q41" s="43">
        <f t="shared" si="25"/>
        <v>415104.33126350585</v>
      </c>
      <c r="S41" s="43">
        <f t="shared" si="26"/>
        <v>0.43240034506615188</v>
      </c>
      <c r="T41" s="43">
        <f t="shared" si="27"/>
        <v>0.86480069013230376</v>
      </c>
      <c r="U41" s="43">
        <f t="shared" si="28"/>
        <v>1.0810008626653798</v>
      </c>
      <c r="V41" s="43">
        <f t="shared" si="29"/>
        <v>2.1620017253307595</v>
      </c>
      <c r="W41" s="43">
        <f t="shared" si="30"/>
        <v>4.324003450661519</v>
      </c>
      <c r="X41" s="43">
        <f t="shared" si="31"/>
        <v>6.486005175992279</v>
      </c>
      <c r="Y41" s="43">
        <f t="shared" si="32"/>
        <v>8.6480069013230381</v>
      </c>
    </row>
    <row r="42" spans="1:39">
      <c r="K42" s="43"/>
      <c r="L42" s="43"/>
      <c r="M42" s="43"/>
      <c r="N42" s="43"/>
      <c r="O42" s="43"/>
      <c r="P42" s="43"/>
      <c r="Q42" s="43"/>
    </row>
    <row r="43" spans="1:39">
      <c r="A43" s="237" t="s">
        <v>212</v>
      </c>
      <c r="B43" s="237"/>
      <c r="C43" s="237"/>
      <c r="D43" s="237"/>
      <c r="E43" s="237"/>
      <c r="K43" s="43"/>
      <c r="L43" s="43"/>
      <c r="M43" s="43"/>
      <c r="N43" s="43"/>
      <c r="O43" s="43"/>
      <c r="P43" s="43"/>
      <c r="Q43" s="43"/>
    </row>
    <row r="44" spans="1:39">
      <c r="A44" s="87" t="s">
        <v>6</v>
      </c>
      <c r="B44" s="87" t="s">
        <v>215</v>
      </c>
      <c r="C44" s="87" t="s">
        <v>218</v>
      </c>
      <c r="D44" s="91" t="s">
        <v>216</v>
      </c>
      <c r="E44" s="87" t="s">
        <v>217</v>
      </c>
      <c r="K44" s="43"/>
      <c r="L44" s="43"/>
      <c r="M44" s="43"/>
      <c r="N44" s="43"/>
      <c r="O44" s="43"/>
      <c r="P44" s="43"/>
      <c r="Q44" s="43"/>
    </row>
    <row r="45" spans="1:39">
      <c r="A45" s="87">
        <v>2019</v>
      </c>
      <c r="B45" s="43">
        <v>4.7000283067853301</v>
      </c>
      <c r="C45" s="43">
        <v>5.0321502213975693</v>
      </c>
      <c r="D45" s="152">
        <v>5.5164651488090728</v>
      </c>
      <c r="E45" s="43">
        <v>6.5826726985788939</v>
      </c>
      <c r="K45" s="43">
        <f t="shared" ref="K45:K58" si="33">D45*1000</f>
        <v>5516.4651488090731</v>
      </c>
      <c r="L45" s="43">
        <f t="shared" ref="L45:L58" si="34">2000*D45</f>
        <v>11032.930297618146</v>
      </c>
      <c r="M45" s="43">
        <f>2500*D45</f>
        <v>13791.162872022682</v>
      </c>
      <c r="N45" s="43">
        <f t="shared" ref="N45:N58" si="35">5000*D45</f>
        <v>27582.325744045364</v>
      </c>
      <c r="O45" s="43">
        <f t="shared" ref="O45:O58" si="36">10000*D45</f>
        <v>55164.651488090727</v>
      </c>
      <c r="P45" s="43">
        <f t="shared" ref="P45:P58" si="37">15000*D45</f>
        <v>82746.977232136094</v>
      </c>
      <c r="Q45" s="43">
        <f t="shared" ref="Q45:Q58" si="38">20000*D45</f>
        <v>110329.30297618145</v>
      </c>
      <c r="S45" s="43">
        <f>K45/48000</f>
        <v>0.11492635726685568</v>
      </c>
      <c r="T45" s="43">
        <f t="shared" ref="T45:Y58" si="39">L45/48000</f>
        <v>0.22985271453371137</v>
      </c>
      <c r="U45" s="43">
        <f t="shared" si="39"/>
        <v>0.28731589316713918</v>
      </c>
      <c r="V45" s="43">
        <f t="shared" si="39"/>
        <v>0.57463178633427836</v>
      </c>
      <c r="W45" s="43">
        <f t="shared" si="39"/>
        <v>1.1492635726685567</v>
      </c>
      <c r="X45" s="43">
        <f t="shared" si="39"/>
        <v>1.7238953590028352</v>
      </c>
      <c r="Y45" s="43">
        <f t="shared" si="39"/>
        <v>2.2985271453371134</v>
      </c>
    </row>
    <row r="46" spans="1:39">
      <c r="A46" s="87">
        <v>2020</v>
      </c>
      <c r="B46" s="43">
        <v>26.413815975945145</v>
      </c>
      <c r="C46" s="43">
        <v>28.280316890733559</v>
      </c>
      <c r="D46" s="152">
        <v>31.002131427165661</v>
      </c>
      <c r="E46" s="43">
        <v>36.994140022332132</v>
      </c>
      <c r="K46" s="43">
        <f t="shared" si="33"/>
        <v>31002.131427165663</v>
      </c>
      <c r="L46" s="43">
        <f t="shared" si="34"/>
        <v>62004.262854331326</v>
      </c>
      <c r="M46" s="43">
        <f t="shared" ref="M46:M58" si="40">2500*D46</f>
        <v>77505.328567914155</v>
      </c>
      <c r="N46" s="43">
        <f t="shared" si="35"/>
        <v>155010.65713582831</v>
      </c>
      <c r="O46" s="43">
        <f t="shared" si="36"/>
        <v>310021.31427165662</v>
      </c>
      <c r="P46" s="43">
        <f t="shared" si="37"/>
        <v>465031.9714074849</v>
      </c>
      <c r="Q46" s="43">
        <f t="shared" si="38"/>
        <v>620042.62854331324</v>
      </c>
      <c r="S46" s="43">
        <f t="shared" ref="S46:S58" si="41">K46/48000</f>
        <v>0.64587773806595128</v>
      </c>
      <c r="T46" s="43">
        <f t="shared" si="39"/>
        <v>1.2917554761319026</v>
      </c>
      <c r="U46" s="43">
        <f t="shared" si="39"/>
        <v>1.6146943451648783</v>
      </c>
      <c r="V46" s="43">
        <f t="shared" si="39"/>
        <v>3.2293886903297566</v>
      </c>
      <c r="W46" s="43">
        <f t="shared" si="39"/>
        <v>6.4587773806595132</v>
      </c>
      <c r="X46" s="43">
        <f t="shared" si="39"/>
        <v>9.6881660709892685</v>
      </c>
      <c r="Y46" s="43">
        <f t="shared" si="39"/>
        <v>12.917554761319026</v>
      </c>
    </row>
    <row r="47" spans="1:39">
      <c r="A47" s="87">
        <v>2021</v>
      </c>
      <c r="B47" s="43">
        <v>68.262475257173179</v>
      </c>
      <c r="C47" s="43">
        <v>73.086161945581566</v>
      </c>
      <c r="D47" s="152">
        <v>80.120276123442707</v>
      </c>
      <c r="E47" s="43">
        <v>95.605707643099691</v>
      </c>
      <c r="K47" s="43">
        <f t="shared" si="33"/>
        <v>80120.276123442702</v>
      </c>
      <c r="L47" s="43">
        <f t="shared" si="34"/>
        <v>160240.5522468854</v>
      </c>
      <c r="M47" s="43">
        <f t="shared" si="40"/>
        <v>200300.69030860678</v>
      </c>
      <c r="N47" s="43">
        <f t="shared" si="35"/>
        <v>400601.38061721355</v>
      </c>
      <c r="O47" s="43">
        <f t="shared" si="36"/>
        <v>801202.7612344271</v>
      </c>
      <c r="P47" s="43">
        <f t="shared" si="37"/>
        <v>1201804.1418516405</v>
      </c>
      <c r="Q47" s="43">
        <f t="shared" si="38"/>
        <v>1602405.5224688542</v>
      </c>
      <c r="S47" s="43">
        <f t="shared" si="41"/>
        <v>1.6691724192383897</v>
      </c>
      <c r="T47" s="43">
        <f t="shared" si="39"/>
        <v>3.3383448384767793</v>
      </c>
      <c r="U47" s="43">
        <f t="shared" si="39"/>
        <v>4.1729310480959745</v>
      </c>
      <c r="V47" s="43">
        <f t="shared" si="39"/>
        <v>8.345862096191949</v>
      </c>
      <c r="W47" s="43">
        <f t="shared" si="39"/>
        <v>16.691724192383898</v>
      </c>
      <c r="X47" s="43">
        <f t="shared" si="39"/>
        <v>25.037586288575845</v>
      </c>
      <c r="Y47" s="43">
        <f t="shared" si="39"/>
        <v>33.383448384767796</v>
      </c>
    </row>
    <row r="48" spans="1:39">
      <c r="A48" s="87">
        <v>2022</v>
      </c>
      <c r="B48" s="43">
        <v>268.49339639059178</v>
      </c>
      <c r="C48" s="43">
        <v>287.46616315909188</v>
      </c>
      <c r="D48" s="152">
        <v>315.1330943551547</v>
      </c>
      <c r="E48" s="43">
        <v>376.04117141539467</v>
      </c>
      <c r="K48" s="43">
        <f t="shared" si="33"/>
        <v>315133.09435515472</v>
      </c>
      <c r="L48" s="43">
        <f t="shared" si="34"/>
        <v>630266.18871030945</v>
      </c>
      <c r="M48" s="43">
        <f t="shared" si="40"/>
        <v>787832.73588788672</v>
      </c>
      <c r="N48" s="43">
        <f t="shared" si="35"/>
        <v>1575665.4717757734</v>
      </c>
      <c r="O48" s="43">
        <f t="shared" si="36"/>
        <v>3151330.9435515469</v>
      </c>
      <c r="P48" s="43">
        <f t="shared" si="37"/>
        <v>4726996.4153273208</v>
      </c>
      <c r="Q48" s="43">
        <f t="shared" si="38"/>
        <v>6302661.8871030938</v>
      </c>
      <c r="S48" s="43">
        <f t="shared" si="41"/>
        <v>6.5652727990657231</v>
      </c>
      <c r="T48" s="43">
        <f t="shared" si="39"/>
        <v>13.130545598131446</v>
      </c>
      <c r="U48" s="43">
        <f t="shared" si="39"/>
        <v>16.413181997664307</v>
      </c>
      <c r="V48" s="43">
        <f t="shared" si="39"/>
        <v>32.826363995328613</v>
      </c>
      <c r="W48" s="43">
        <f t="shared" si="39"/>
        <v>65.652727990657226</v>
      </c>
      <c r="X48" s="43">
        <f t="shared" si="39"/>
        <v>98.479091985985846</v>
      </c>
      <c r="Y48" s="43">
        <f t="shared" si="39"/>
        <v>131.30545598131445</v>
      </c>
    </row>
    <row r="49" spans="1:25">
      <c r="A49" s="87">
        <v>2023</v>
      </c>
      <c r="B49" s="43">
        <v>268.49339639059178</v>
      </c>
      <c r="C49" s="43">
        <v>287.46616315909188</v>
      </c>
      <c r="D49" s="152">
        <v>315.1330943551547</v>
      </c>
      <c r="E49" s="43">
        <v>376.04117141539467</v>
      </c>
      <c r="K49" s="43">
        <f t="shared" si="33"/>
        <v>315133.09435515472</v>
      </c>
      <c r="L49" s="43">
        <f t="shared" si="34"/>
        <v>630266.18871030945</v>
      </c>
      <c r="M49" s="43">
        <f t="shared" si="40"/>
        <v>787832.73588788672</v>
      </c>
      <c r="N49" s="43">
        <f t="shared" si="35"/>
        <v>1575665.4717757734</v>
      </c>
      <c r="O49" s="43">
        <f t="shared" si="36"/>
        <v>3151330.9435515469</v>
      </c>
      <c r="P49" s="43">
        <f t="shared" si="37"/>
        <v>4726996.4153273208</v>
      </c>
      <c r="Q49" s="43">
        <f t="shared" si="38"/>
        <v>6302661.8871030938</v>
      </c>
      <c r="S49" s="43">
        <f t="shared" si="41"/>
        <v>6.5652727990657231</v>
      </c>
      <c r="T49" s="43">
        <f t="shared" si="39"/>
        <v>13.130545598131446</v>
      </c>
      <c r="U49" s="43">
        <f t="shared" si="39"/>
        <v>16.413181997664307</v>
      </c>
      <c r="V49" s="43">
        <f t="shared" si="39"/>
        <v>32.826363995328613</v>
      </c>
      <c r="W49" s="43">
        <f t="shared" si="39"/>
        <v>65.652727990657226</v>
      </c>
      <c r="X49" s="43">
        <f t="shared" si="39"/>
        <v>98.479091985985846</v>
      </c>
      <c r="Y49" s="43">
        <f t="shared" si="39"/>
        <v>131.30545598131445</v>
      </c>
    </row>
    <row r="50" spans="1:25">
      <c r="A50" s="87">
        <v>2024</v>
      </c>
      <c r="B50" s="43">
        <v>268.49339639059178</v>
      </c>
      <c r="C50" s="43">
        <v>287.46616315909188</v>
      </c>
      <c r="D50" s="152">
        <v>315.1330943551547</v>
      </c>
      <c r="E50" s="43">
        <v>376.04117141539467</v>
      </c>
      <c r="K50" s="43">
        <f t="shared" si="33"/>
        <v>315133.09435515472</v>
      </c>
      <c r="L50" s="43">
        <f t="shared" si="34"/>
        <v>630266.18871030945</v>
      </c>
      <c r="M50" s="43">
        <f t="shared" si="40"/>
        <v>787832.73588788672</v>
      </c>
      <c r="N50" s="43">
        <f t="shared" si="35"/>
        <v>1575665.4717757734</v>
      </c>
      <c r="O50" s="43">
        <f t="shared" si="36"/>
        <v>3151330.9435515469</v>
      </c>
      <c r="P50" s="43">
        <f t="shared" si="37"/>
        <v>4726996.4153273208</v>
      </c>
      <c r="Q50" s="43">
        <f t="shared" si="38"/>
        <v>6302661.8871030938</v>
      </c>
      <c r="S50" s="43">
        <f t="shared" si="41"/>
        <v>6.5652727990657231</v>
      </c>
      <c r="T50" s="43">
        <f t="shared" si="39"/>
        <v>13.130545598131446</v>
      </c>
      <c r="U50" s="43">
        <f t="shared" si="39"/>
        <v>16.413181997664307</v>
      </c>
      <c r="V50" s="43">
        <f t="shared" si="39"/>
        <v>32.826363995328613</v>
      </c>
      <c r="W50" s="43">
        <f t="shared" si="39"/>
        <v>65.652727990657226</v>
      </c>
      <c r="X50" s="43">
        <f t="shared" si="39"/>
        <v>98.479091985985846</v>
      </c>
      <c r="Y50" s="43">
        <f t="shared" si="39"/>
        <v>131.30545598131445</v>
      </c>
    </row>
    <row r="51" spans="1:25">
      <c r="A51" s="87">
        <v>2025</v>
      </c>
      <c r="B51" s="43">
        <v>443.23630050567976</v>
      </c>
      <c r="C51" s="43">
        <v>474.55706692256933</v>
      </c>
      <c r="D51" s="152">
        <v>520.23039965455371</v>
      </c>
      <c r="E51" s="43">
        <v>620.77913236089603</v>
      </c>
      <c r="K51" s="43">
        <f t="shared" si="33"/>
        <v>520230.39965455368</v>
      </c>
      <c r="L51" s="43">
        <f t="shared" si="34"/>
        <v>1040460.7993091074</v>
      </c>
      <c r="M51" s="43">
        <f t="shared" si="40"/>
        <v>1300575.9991363843</v>
      </c>
      <c r="N51" s="43">
        <f t="shared" si="35"/>
        <v>2601151.9982727687</v>
      </c>
      <c r="O51" s="43">
        <f t="shared" si="36"/>
        <v>5202303.9965455374</v>
      </c>
      <c r="P51" s="43">
        <f t="shared" si="37"/>
        <v>7803455.9948183056</v>
      </c>
      <c r="Q51" s="43">
        <f t="shared" si="38"/>
        <v>10404607.993091075</v>
      </c>
      <c r="S51" s="43">
        <f t="shared" si="41"/>
        <v>10.838133326136536</v>
      </c>
      <c r="T51" s="43">
        <f t="shared" si="39"/>
        <v>21.676266652273071</v>
      </c>
      <c r="U51" s="43">
        <f t="shared" si="39"/>
        <v>27.095333315341339</v>
      </c>
      <c r="V51" s="43">
        <f t="shared" si="39"/>
        <v>54.190666630682678</v>
      </c>
      <c r="W51" s="43">
        <f t="shared" si="39"/>
        <v>108.38133326136536</v>
      </c>
      <c r="X51" s="43">
        <f t="shared" si="39"/>
        <v>162.57199989204804</v>
      </c>
      <c r="Y51" s="43">
        <f t="shared" si="39"/>
        <v>216.76266652273071</v>
      </c>
    </row>
    <row r="52" spans="1:25">
      <c r="A52" s="87">
        <v>2026</v>
      </c>
      <c r="B52" s="43">
        <v>443.23630050567976</v>
      </c>
      <c r="C52" s="43">
        <v>474.55706692256933</v>
      </c>
      <c r="D52" s="152">
        <v>520.23039965455371</v>
      </c>
      <c r="E52" s="43">
        <v>620.77913236089603</v>
      </c>
      <c r="K52" s="43">
        <f t="shared" si="33"/>
        <v>520230.39965455368</v>
      </c>
      <c r="L52" s="43">
        <f t="shared" si="34"/>
        <v>1040460.7993091074</v>
      </c>
      <c r="M52" s="43">
        <f t="shared" si="40"/>
        <v>1300575.9991363843</v>
      </c>
      <c r="N52" s="43">
        <f t="shared" si="35"/>
        <v>2601151.9982727687</v>
      </c>
      <c r="O52" s="43">
        <f t="shared" si="36"/>
        <v>5202303.9965455374</v>
      </c>
      <c r="P52" s="43">
        <f t="shared" si="37"/>
        <v>7803455.9948183056</v>
      </c>
      <c r="Q52" s="43">
        <f t="shared" si="38"/>
        <v>10404607.993091075</v>
      </c>
      <c r="S52" s="43">
        <f t="shared" si="41"/>
        <v>10.838133326136536</v>
      </c>
      <c r="T52" s="43">
        <f t="shared" si="39"/>
        <v>21.676266652273071</v>
      </c>
      <c r="U52" s="43">
        <f t="shared" si="39"/>
        <v>27.095333315341339</v>
      </c>
      <c r="V52" s="43">
        <f t="shared" si="39"/>
        <v>54.190666630682678</v>
      </c>
      <c r="W52" s="43">
        <f t="shared" si="39"/>
        <v>108.38133326136536</v>
      </c>
      <c r="X52" s="43">
        <f t="shared" si="39"/>
        <v>162.57199989204804</v>
      </c>
      <c r="Y52" s="43">
        <f t="shared" si="39"/>
        <v>216.76266652273071</v>
      </c>
    </row>
    <row r="53" spans="1:25">
      <c r="A53" s="87">
        <v>2027</v>
      </c>
      <c r="B53" s="43">
        <v>781.79419323277966</v>
      </c>
      <c r="C53" s="43">
        <v>837.03875078456065</v>
      </c>
      <c r="D53" s="152">
        <v>917.59881834833288</v>
      </c>
      <c r="E53" s="43">
        <v>1094.949850466078</v>
      </c>
      <c r="K53" s="43">
        <f t="shared" si="33"/>
        <v>917598.81834833289</v>
      </c>
      <c r="L53" s="43">
        <f t="shared" si="34"/>
        <v>1835197.6366966658</v>
      </c>
      <c r="M53" s="43">
        <f t="shared" si="40"/>
        <v>2293997.0458708322</v>
      </c>
      <c r="N53" s="43">
        <f t="shared" si="35"/>
        <v>4587994.0917416643</v>
      </c>
      <c r="O53" s="43">
        <f t="shared" si="36"/>
        <v>9175988.1834833287</v>
      </c>
      <c r="P53" s="43">
        <f t="shared" si="37"/>
        <v>13763982.275224993</v>
      </c>
      <c r="Q53" s="43">
        <f t="shared" si="38"/>
        <v>18351976.366966657</v>
      </c>
      <c r="S53" s="43">
        <f t="shared" si="41"/>
        <v>19.116642048923602</v>
      </c>
      <c r="T53" s="43">
        <f t="shared" si="39"/>
        <v>38.233284097847203</v>
      </c>
      <c r="U53" s="43">
        <f t="shared" si="39"/>
        <v>47.791605122309001</v>
      </c>
      <c r="V53" s="43">
        <f t="shared" si="39"/>
        <v>95.583210244618002</v>
      </c>
      <c r="W53" s="43">
        <f t="shared" si="39"/>
        <v>191.166420489236</v>
      </c>
      <c r="X53" s="43">
        <f t="shared" si="39"/>
        <v>286.74963073385402</v>
      </c>
      <c r="Y53" s="43">
        <f t="shared" si="39"/>
        <v>382.33284097847201</v>
      </c>
    </row>
    <row r="54" spans="1:25">
      <c r="A54" s="87">
        <v>2028</v>
      </c>
      <c r="B54" s="43">
        <v>672.87078848634064</v>
      </c>
      <c r="C54" s="43">
        <v>720.41840309030044</v>
      </c>
      <c r="D54" s="152">
        <v>789.75444658021195</v>
      </c>
      <c r="E54" s="43">
        <v>942.39606230579921</v>
      </c>
      <c r="K54" s="43">
        <f t="shared" si="33"/>
        <v>789754.44658021198</v>
      </c>
      <c r="L54" s="43">
        <f t="shared" si="34"/>
        <v>1579508.893160424</v>
      </c>
      <c r="M54" s="43">
        <f t="shared" si="40"/>
        <v>1974386.1164505298</v>
      </c>
      <c r="N54" s="43">
        <f t="shared" si="35"/>
        <v>3948772.2329010596</v>
      </c>
      <c r="O54" s="43">
        <f t="shared" si="36"/>
        <v>7897544.4658021191</v>
      </c>
      <c r="P54" s="43">
        <f t="shared" si="37"/>
        <v>11846316.698703179</v>
      </c>
      <c r="Q54" s="43">
        <f t="shared" si="38"/>
        <v>15795088.931604238</v>
      </c>
      <c r="S54" s="43">
        <f t="shared" si="41"/>
        <v>16.45321763708775</v>
      </c>
      <c r="T54" s="43">
        <f t="shared" si="39"/>
        <v>32.9064352741755</v>
      </c>
      <c r="U54" s="43">
        <f t="shared" si="39"/>
        <v>41.133044092719373</v>
      </c>
      <c r="V54" s="43">
        <f t="shared" si="39"/>
        <v>82.266088185438747</v>
      </c>
      <c r="W54" s="43">
        <f t="shared" si="39"/>
        <v>164.53217637087749</v>
      </c>
      <c r="X54" s="43">
        <f t="shared" si="39"/>
        <v>246.79826455631624</v>
      </c>
      <c r="Y54" s="43">
        <f t="shared" si="39"/>
        <v>329.06435274175499</v>
      </c>
    </row>
    <row r="55" spans="1:25">
      <c r="A55" s="87">
        <v>2029</v>
      </c>
      <c r="B55" s="43">
        <v>672.87078848634064</v>
      </c>
      <c r="C55" s="43">
        <v>720.41840309030044</v>
      </c>
      <c r="D55" s="152">
        <v>789.75444658021195</v>
      </c>
      <c r="E55" s="43">
        <v>942.39606230579921</v>
      </c>
      <c r="K55" s="43">
        <f t="shared" si="33"/>
        <v>789754.44658021198</v>
      </c>
      <c r="L55" s="43">
        <f t="shared" si="34"/>
        <v>1579508.893160424</v>
      </c>
      <c r="M55" s="43">
        <f t="shared" si="40"/>
        <v>1974386.1164505298</v>
      </c>
      <c r="N55" s="43">
        <f t="shared" si="35"/>
        <v>3948772.2329010596</v>
      </c>
      <c r="O55" s="43">
        <f t="shared" si="36"/>
        <v>7897544.4658021191</v>
      </c>
      <c r="P55" s="43">
        <f t="shared" si="37"/>
        <v>11846316.698703179</v>
      </c>
      <c r="Q55" s="43">
        <f t="shared" si="38"/>
        <v>15795088.931604238</v>
      </c>
      <c r="S55" s="43">
        <f t="shared" si="41"/>
        <v>16.45321763708775</v>
      </c>
      <c r="T55" s="43">
        <f t="shared" si="39"/>
        <v>32.9064352741755</v>
      </c>
      <c r="U55" s="43">
        <f t="shared" si="39"/>
        <v>41.133044092719373</v>
      </c>
      <c r="V55" s="43">
        <f t="shared" si="39"/>
        <v>82.266088185438747</v>
      </c>
      <c r="W55" s="43">
        <f t="shared" si="39"/>
        <v>164.53217637087749</v>
      </c>
      <c r="X55" s="43">
        <f t="shared" si="39"/>
        <v>246.79826455631624</v>
      </c>
      <c r="Y55" s="43">
        <f t="shared" si="39"/>
        <v>329.06435274175499</v>
      </c>
    </row>
    <row r="56" spans="1:25">
      <c r="A56" s="87">
        <v>2057</v>
      </c>
      <c r="B56" s="43">
        <v>672.87078848634064</v>
      </c>
      <c r="C56" s="43">
        <v>720.41840309030044</v>
      </c>
      <c r="D56" s="152">
        <v>789.75444658021195</v>
      </c>
      <c r="E56" s="43">
        <v>942.39606230579921</v>
      </c>
      <c r="K56" s="43">
        <f t="shared" si="33"/>
        <v>789754.44658021198</v>
      </c>
      <c r="L56" s="43">
        <f t="shared" si="34"/>
        <v>1579508.893160424</v>
      </c>
      <c r="M56" s="43">
        <f t="shared" si="40"/>
        <v>1974386.1164505298</v>
      </c>
      <c r="N56" s="43">
        <f t="shared" si="35"/>
        <v>3948772.2329010596</v>
      </c>
      <c r="O56" s="43">
        <f t="shared" si="36"/>
        <v>7897544.4658021191</v>
      </c>
      <c r="P56" s="43">
        <f t="shared" si="37"/>
        <v>11846316.698703179</v>
      </c>
      <c r="Q56" s="43">
        <f t="shared" si="38"/>
        <v>15795088.931604238</v>
      </c>
      <c r="S56" s="43">
        <f t="shared" si="41"/>
        <v>16.45321763708775</v>
      </c>
      <c r="T56" s="43">
        <f t="shared" si="39"/>
        <v>32.9064352741755</v>
      </c>
      <c r="U56" s="43">
        <f t="shared" si="39"/>
        <v>41.133044092719373</v>
      </c>
      <c r="V56" s="43">
        <f t="shared" si="39"/>
        <v>82.266088185438747</v>
      </c>
      <c r="W56" s="43">
        <f t="shared" si="39"/>
        <v>164.53217637087749</v>
      </c>
      <c r="X56" s="43">
        <f t="shared" si="39"/>
        <v>246.79826455631624</v>
      </c>
      <c r="Y56" s="43">
        <f t="shared" si="39"/>
        <v>329.06435274175499</v>
      </c>
    </row>
    <row r="57" spans="1:25">
      <c r="A57" s="87">
        <v>2058</v>
      </c>
      <c r="B57" s="43">
        <v>572.04034189810534</v>
      </c>
      <c r="C57" s="43">
        <v>612.46289282452381</v>
      </c>
      <c r="D57" s="152">
        <v>671.40885199308127</v>
      </c>
      <c r="E57" s="43">
        <v>801.17694943712229</v>
      </c>
      <c r="K57" s="43">
        <f t="shared" si="33"/>
        <v>671408.85199308128</v>
      </c>
      <c r="L57" s="43">
        <f t="shared" si="34"/>
        <v>1342817.7039861626</v>
      </c>
      <c r="M57" s="43">
        <f t="shared" si="40"/>
        <v>1678522.1299827031</v>
      </c>
      <c r="N57" s="43">
        <f t="shared" si="35"/>
        <v>3357044.2599654063</v>
      </c>
      <c r="O57" s="43">
        <f t="shared" si="36"/>
        <v>6714088.5199308125</v>
      </c>
      <c r="P57" s="43">
        <f t="shared" si="37"/>
        <v>10071132.779896218</v>
      </c>
      <c r="Q57" s="43">
        <f t="shared" si="38"/>
        <v>13428177.039861625</v>
      </c>
      <c r="S57" s="43">
        <f t="shared" si="41"/>
        <v>13.987684416522526</v>
      </c>
      <c r="T57" s="43">
        <f t="shared" si="39"/>
        <v>27.975368833045053</v>
      </c>
      <c r="U57" s="43">
        <f t="shared" si="39"/>
        <v>34.969211041306316</v>
      </c>
      <c r="V57" s="43">
        <f t="shared" si="39"/>
        <v>69.938422082612632</v>
      </c>
      <c r="W57" s="43">
        <f t="shared" si="39"/>
        <v>139.87684416522526</v>
      </c>
      <c r="X57" s="43">
        <f t="shared" si="39"/>
        <v>209.81526624783788</v>
      </c>
      <c r="Y57" s="43">
        <f t="shared" si="39"/>
        <v>279.75368833045053</v>
      </c>
    </row>
    <row r="58" spans="1:25">
      <c r="A58" s="87">
        <v>2067</v>
      </c>
      <c r="B58" s="43">
        <v>572.04034189810534</v>
      </c>
      <c r="C58" s="43">
        <v>612.46289282452381</v>
      </c>
      <c r="D58" s="152">
        <v>671.40885199308127</v>
      </c>
      <c r="E58" s="43">
        <v>801.17694943712229</v>
      </c>
      <c r="K58" s="43">
        <f t="shared" si="33"/>
        <v>671408.85199308128</v>
      </c>
      <c r="L58" s="43">
        <f t="shared" si="34"/>
        <v>1342817.7039861626</v>
      </c>
      <c r="M58" s="43">
        <f t="shared" si="40"/>
        <v>1678522.1299827031</v>
      </c>
      <c r="N58" s="43">
        <f t="shared" si="35"/>
        <v>3357044.2599654063</v>
      </c>
      <c r="O58" s="43">
        <f t="shared" si="36"/>
        <v>6714088.5199308125</v>
      </c>
      <c r="P58" s="43">
        <f t="shared" si="37"/>
        <v>10071132.779896218</v>
      </c>
      <c r="Q58" s="43">
        <f t="shared" si="38"/>
        <v>13428177.039861625</v>
      </c>
      <c r="S58" s="43">
        <f t="shared" si="41"/>
        <v>13.987684416522526</v>
      </c>
      <c r="T58" s="43">
        <f t="shared" si="39"/>
        <v>27.975368833045053</v>
      </c>
      <c r="U58" s="43">
        <f t="shared" si="39"/>
        <v>34.969211041306316</v>
      </c>
      <c r="V58" s="43">
        <f t="shared" si="39"/>
        <v>69.938422082612632</v>
      </c>
      <c r="W58" s="43">
        <f t="shared" si="39"/>
        <v>139.87684416522526</v>
      </c>
      <c r="X58" s="43">
        <f t="shared" si="39"/>
        <v>209.81526624783788</v>
      </c>
      <c r="Y58" s="43">
        <f t="shared" si="39"/>
        <v>279.75368833045053</v>
      </c>
    </row>
    <row r="59" spans="1:25">
      <c r="A59" s="87">
        <v>2068</v>
      </c>
      <c r="B59" s="43">
        <v>17.68344451182535</v>
      </c>
      <c r="C59" s="43">
        <v>18.933024102596736</v>
      </c>
      <c r="D59" s="152">
        <v>20.755216563175292</v>
      </c>
      <c r="E59" s="43">
        <v>24.766729008158755</v>
      </c>
      <c r="K59" s="43">
        <f t="shared" ref="K59" si="42">D59*1000</f>
        <v>20755.216563175291</v>
      </c>
      <c r="L59" s="43">
        <f t="shared" ref="L59" si="43">2000*D59</f>
        <v>41510.433126350581</v>
      </c>
      <c r="M59" s="43">
        <f t="shared" ref="M59" si="44">2500*D59</f>
        <v>51888.041407938232</v>
      </c>
      <c r="N59" s="43">
        <f t="shared" ref="N59" si="45">5000*D59</f>
        <v>103776.08281587646</v>
      </c>
      <c r="O59" s="43">
        <f t="shared" ref="O59" si="46">10000*D59</f>
        <v>207552.16563175293</v>
      </c>
      <c r="P59" s="43">
        <f t="shared" ref="P59" si="47">15000*D59</f>
        <v>311328.24844762939</v>
      </c>
      <c r="Q59" s="43">
        <f t="shared" ref="Q59" si="48">20000*D59</f>
        <v>415104.33126350585</v>
      </c>
      <c r="S59" s="43">
        <f t="shared" ref="S59" si="49">K59/48000</f>
        <v>0.43240034506615188</v>
      </c>
      <c r="T59" s="43">
        <f t="shared" ref="T59" si="50">L59/48000</f>
        <v>0.86480069013230376</v>
      </c>
      <c r="U59" s="43">
        <f t="shared" ref="U59" si="51">M59/48000</f>
        <v>1.0810008626653798</v>
      </c>
      <c r="V59" s="43">
        <f t="shared" ref="V59" si="52">N59/48000</f>
        <v>2.1620017253307595</v>
      </c>
      <c r="W59" s="43">
        <f t="shared" ref="W59" si="53">O59/48000</f>
        <v>4.324003450661519</v>
      </c>
      <c r="X59" s="43">
        <f t="shared" ref="X59" si="54">P59/48000</f>
        <v>6.486005175992279</v>
      </c>
      <c r="Y59" s="43">
        <f t="shared" ref="Y59" si="55">Q59/48000</f>
        <v>8.6480069013230381</v>
      </c>
    </row>
    <row r="61" spans="1:25" ht="15" customHeight="1">
      <c r="A61" s="237" t="s">
        <v>229</v>
      </c>
      <c r="B61" s="237"/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</row>
    <row r="62" spans="1:25">
      <c r="A62" s="237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</row>
    <row r="64" spans="1:25">
      <c r="A64" s="237" t="s">
        <v>207</v>
      </c>
      <c r="B64" s="237"/>
      <c r="C64" s="237"/>
      <c r="D64" s="237"/>
      <c r="E64" s="237"/>
      <c r="F64" s="237"/>
      <c r="H64" s="238" t="s">
        <v>208</v>
      </c>
      <c r="I64" s="238"/>
      <c r="J64" s="238"/>
      <c r="K64" s="238"/>
      <c r="L64" s="238"/>
      <c r="N64" s="237" t="s">
        <v>209</v>
      </c>
      <c r="O64" s="237"/>
      <c r="P64" s="237"/>
      <c r="Q64" s="237"/>
      <c r="R64" s="237"/>
    </row>
    <row r="65" spans="1:40">
      <c r="A65" s="116"/>
      <c r="B65" s="66">
        <v>5.0000000000000001E-3</v>
      </c>
      <c r="C65" s="66">
        <v>7.4999999999999997E-3</v>
      </c>
      <c r="D65" s="66">
        <v>0.01</v>
      </c>
      <c r="E65" s="66">
        <v>1.2500000000000001E-2</v>
      </c>
      <c r="F65" s="66">
        <v>1.4999999999999999E-2</v>
      </c>
      <c r="H65" s="120">
        <v>5.0000000000000001E-3</v>
      </c>
      <c r="I65" s="120">
        <v>7.4999999999999997E-3</v>
      </c>
      <c r="J65" s="120">
        <v>0.01</v>
      </c>
      <c r="K65" s="120">
        <v>1.2500000000000001E-2</v>
      </c>
      <c r="L65" s="120">
        <v>1.4999999999999999E-2</v>
      </c>
      <c r="N65" s="66">
        <v>5.0000000000000001E-3</v>
      </c>
      <c r="O65" s="66">
        <v>7.4999999999999997E-3</v>
      </c>
      <c r="P65" s="66">
        <v>0.01</v>
      </c>
      <c r="Q65" s="66">
        <v>1.2500000000000001E-2</v>
      </c>
      <c r="R65" s="66">
        <v>1.4999999999999999E-2</v>
      </c>
      <c r="AN65" s="87"/>
    </row>
    <row r="66" spans="1:40">
      <c r="A66" s="116">
        <v>2019</v>
      </c>
      <c r="B66" s="43">
        <v>7246.1274632825671</v>
      </c>
      <c r="C66" s="43">
        <v>10869.191194923849</v>
      </c>
      <c r="D66" s="43">
        <v>14492.254926565134</v>
      </c>
      <c r="E66" s="43">
        <v>18115.318658206419</v>
      </c>
      <c r="F66" s="43">
        <v>21738.382389847699</v>
      </c>
      <c r="G66" s="43"/>
      <c r="H66" s="151">
        <v>7676.6790257825669</v>
      </c>
      <c r="I66" s="151">
        <v>11515.01853867385</v>
      </c>
      <c r="J66" s="151">
        <v>15353.358051565134</v>
      </c>
      <c r="K66" s="151">
        <v>19191.697564456419</v>
      </c>
      <c r="L66" s="151">
        <v>23030.037077347701</v>
      </c>
      <c r="N66" s="43">
        <v>9987.5601519188258</v>
      </c>
      <c r="O66" s="43">
        <v>14981.340227878238</v>
      </c>
      <c r="P66" s="43">
        <v>19975.120303837652</v>
      </c>
      <c r="Q66" s="43">
        <v>24968.900379797065</v>
      </c>
      <c r="R66" s="43">
        <v>29962.680455756476</v>
      </c>
      <c r="AN66" s="87"/>
    </row>
    <row r="67" spans="1:40">
      <c r="A67" s="116">
        <v>2020</v>
      </c>
      <c r="B67" s="43">
        <v>21048.74206451964</v>
      </c>
      <c r="C67" s="43">
        <v>31573.11309677946</v>
      </c>
      <c r="D67" s="43">
        <v>42097.48412903928</v>
      </c>
      <c r="E67" s="43">
        <v>52621.855161299107</v>
      </c>
      <c r="F67" s="43">
        <v>63146.226193558919</v>
      </c>
      <c r="G67" s="43"/>
      <c r="H67" s="151">
        <v>21622.810814519642</v>
      </c>
      <c r="I67" s="151">
        <v>32434.216221779461</v>
      </c>
      <c r="J67" s="151">
        <v>43245.621629039284</v>
      </c>
      <c r="K67" s="151">
        <v>54057.027036299107</v>
      </c>
      <c r="L67" s="151">
        <v>64868.432443558922</v>
      </c>
      <c r="N67" s="43">
        <v>56129.358948883433</v>
      </c>
      <c r="O67" s="43">
        <v>84194.038423325153</v>
      </c>
      <c r="P67" s="43">
        <v>112258.71789776687</v>
      </c>
      <c r="Q67" s="43">
        <v>140323.39737220859</v>
      </c>
      <c r="R67" s="43">
        <v>168388.07684665031</v>
      </c>
      <c r="AN67" s="87"/>
    </row>
    <row r="68" spans="1:40">
      <c r="A68" s="116">
        <v>2021</v>
      </c>
      <c r="B68" s="43">
        <v>62371.210970560671</v>
      </c>
      <c r="C68" s="43">
        <v>93556.816455840992</v>
      </c>
      <c r="D68" s="43">
        <v>124742.42194112134</v>
      </c>
      <c r="E68" s="43">
        <v>155928.02742640168</v>
      </c>
      <c r="F68" s="43">
        <v>187113.63291168198</v>
      </c>
      <c r="G68" s="43"/>
      <c r="H68" s="151">
        <v>62945.279720560669</v>
      </c>
      <c r="I68" s="151">
        <v>94417.919580841</v>
      </c>
      <c r="J68" s="151">
        <v>125890.55944112134</v>
      </c>
      <c r="K68" s="151">
        <v>157363.19930140168</v>
      </c>
      <c r="L68" s="151">
        <v>188835.839161682</v>
      </c>
      <c r="N68" s="43">
        <v>145057.75992149301</v>
      </c>
      <c r="O68" s="43">
        <v>217586.63988223951</v>
      </c>
      <c r="P68" s="43">
        <v>290115.51984298602</v>
      </c>
      <c r="Q68" s="43">
        <v>362644.39980373252</v>
      </c>
      <c r="R68" s="43">
        <v>435173.27976447903</v>
      </c>
      <c r="AN68" s="87"/>
    </row>
    <row r="69" spans="1:40">
      <c r="A69" s="116">
        <v>2022</v>
      </c>
      <c r="B69" s="43">
        <v>142748.44371210717</v>
      </c>
      <c r="C69" s="43">
        <v>214122.66556816074</v>
      </c>
      <c r="D69" s="43">
        <v>285496.88742421434</v>
      </c>
      <c r="E69" s="43">
        <v>356871.10928026796</v>
      </c>
      <c r="F69" s="43">
        <v>428245.33113632147</v>
      </c>
      <c r="G69" s="43"/>
      <c r="H69" s="151">
        <v>149217.47938431107</v>
      </c>
      <c r="I69" s="151">
        <v>223826.2190764666</v>
      </c>
      <c r="J69" s="151">
        <v>298434.95876862213</v>
      </c>
      <c r="K69" s="151">
        <v>373043.6984607777</v>
      </c>
      <c r="L69" s="151">
        <v>447652.4381529332</v>
      </c>
      <c r="N69" s="43">
        <v>570548.46733000758</v>
      </c>
      <c r="O69" s="43">
        <v>855822.70099501126</v>
      </c>
      <c r="P69" s="43">
        <v>1141096.9346600152</v>
      </c>
      <c r="Q69" s="43">
        <v>1426371.1683250191</v>
      </c>
      <c r="R69" s="43">
        <v>1711645.4019900225</v>
      </c>
      <c r="AN69" s="87"/>
    </row>
    <row r="70" spans="1:40">
      <c r="A70" s="116">
        <v>2023</v>
      </c>
      <c r="B70" s="43">
        <v>512327.57528121321</v>
      </c>
      <c r="C70" s="43">
        <v>768491.36292181979</v>
      </c>
      <c r="D70" s="43">
        <v>1024655.1505624264</v>
      </c>
      <c r="E70" s="43">
        <v>1280818.9382030331</v>
      </c>
      <c r="F70" s="43">
        <v>1536982.7258436396</v>
      </c>
      <c r="G70" s="43"/>
      <c r="H70" s="151">
        <v>340294.62874001014</v>
      </c>
      <c r="I70" s="151">
        <v>510441.94311001513</v>
      </c>
      <c r="J70" s="151">
        <v>680589.25748002029</v>
      </c>
      <c r="K70" s="151">
        <v>850736.57185002533</v>
      </c>
      <c r="L70" s="151">
        <v>1020883.8862200303</v>
      </c>
      <c r="N70" s="43">
        <v>570548.46733000758</v>
      </c>
      <c r="O70" s="43">
        <v>855822.70099501126</v>
      </c>
      <c r="P70" s="43">
        <v>1141096.9346600152</v>
      </c>
      <c r="Q70" s="43">
        <v>1426371.1683250191</v>
      </c>
      <c r="R70" s="43">
        <v>1711645.4019900225</v>
      </c>
      <c r="AN70" s="87"/>
    </row>
    <row r="71" spans="1:40">
      <c r="A71" s="116">
        <v>2024</v>
      </c>
      <c r="B71" s="43">
        <v>512327.57528121321</v>
      </c>
      <c r="C71" s="43">
        <v>768491.36292181979</v>
      </c>
      <c r="D71" s="43">
        <v>1024655.1505624264</v>
      </c>
      <c r="E71" s="43">
        <v>1280818.9382030331</v>
      </c>
      <c r="F71" s="43">
        <v>1536982.7258436396</v>
      </c>
      <c r="G71" s="43"/>
      <c r="H71" s="151">
        <v>340294.62874001014</v>
      </c>
      <c r="I71" s="151">
        <v>510441.94311001513</v>
      </c>
      <c r="J71" s="151">
        <v>680589.25748002029</v>
      </c>
      <c r="K71" s="151">
        <v>850736.57185002533</v>
      </c>
      <c r="L71" s="151">
        <v>1020883.8862200303</v>
      </c>
      <c r="N71" s="43">
        <v>570548.46733000758</v>
      </c>
      <c r="O71" s="43">
        <v>855822.70099501126</v>
      </c>
      <c r="P71" s="43">
        <v>1141096.9346600152</v>
      </c>
      <c r="Q71" s="43">
        <v>1426371.1683250191</v>
      </c>
      <c r="R71" s="43">
        <v>1711645.4019900225</v>
      </c>
      <c r="AN71" s="87"/>
    </row>
    <row r="72" spans="1:40">
      <c r="A72" s="116">
        <v>2025</v>
      </c>
      <c r="B72" s="43">
        <v>946420.87908335729</v>
      </c>
      <c r="C72" s="43">
        <v>1419631.3186250359</v>
      </c>
      <c r="D72" s="43">
        <v>1892841.7581667146</v>
      </c>
      <c r="E72" s="43">
        <v>2366052.1977083934</v>
      </c>
      <c r="F72" s="43">
        <v>2839262.6372500719</v>
      </c>
      <c r="G72" s="43"/>
      <c r="H72" s="151">
        <v>778794.33699500491</v>
      </c>
      <c r="I72" s="151">
        <v>1168191.5054925072</v>
      </c>
      <c r="J72" s="151">
        <v>1557588.6739900098</v>
      </c>
      <c r="K72" s="151">
        <v>1946985.8424875122</v>
      </c>
      <c r="L72" s="151">
        <v>2336383.0109850145</v>
      </c>
      <c r="N72" s="43">
        <v>941877.13857456949</v>
      </c>
      <c r="O72" s="43">
        <v>1412815.7078618542</v>
      </c>
      <c r="P72" s="43">
        <v>1883754.277149139</v>
      </c>
      <c r="Q72" s="43">
        <v>2354692.8464364237</v>
      </c>
      <c r="R72" s="43">
        <v>2825631.4157237085</v>
      </c>
      <c r="AN72" s="87"/>
    </row>
    <row r="73" spans="1:40">
      <c r="A73" s="116">
        <v>2026</v>
      </c>
      <c r="B73" s="43">
        <v>946420.87908335729</v>
      </c>
      <c r="C73" s="43">
        <v>1419631.3186250359</v>
      </c>
      <c r="D73" s="43">
        <v>1892841.7581667146</v>
      </c>
      <c r="E73" s="43">
        <v>2366052.1977083934</v>
      </c>
      <c r="F73" s="43">
        <v>2839262.6372500719</v>
      </c>
      <c r="G73" s="43"/>
      <c r="H73" s="151">
        <v>778794.33699500491</v>
      </c>
      <c r="I73" s="151">
        <v>1168191.5054925072</v>
      </c>
      <c r="J73" s="151">
        <v>1557588.6739900098</v>
      </c>
      <c r="K73" s="151">
        <v>1946985.8424875122</v>
      </c>
      <c r="L73" s="151">
        <v>2336383.0109850145</v>
      </c>
      <c r="N73" s="43">
        <v>941877.13857456949</v>
      </c>
      <c r="O73" s="43">
        <v>1412815.7078618542</v>
      </c>
      <c r="P73" s="43">
        <v>1883754.277149139</v>
      </c>
      <c r="Q73" s="43">
        <v>2354692.8464364237</v>
      </c>
      <c r="R73" s="43">
        <v>2825631.4157237085</v>
      </c>
      <c r="AN73" s="87"/>
    </row>
    <row r="74" spans="1:40">
      <c r="A74" s="116">
        <v>2027</v>
      </c>
      <c r="B74" s="43">
        <v>946420.87908335729</v>
      </c>
      <c r="C74" s="43">
        <v>1419631.3186250359</v>
      </c>
      <c r="D74" s="43">
        <v>1892841.7581667146</v>
      </c>
      <c r="E74" s="43">
        <v>2366052.1977083934</v>
      </c>
      <c r="F74" s="43">
        <v>2839262.6372500719</v>
      </c>
      <c r="G74" s="43"/>
      <c r="H74" s="151">
        <v>778794.33699500491</v>
      </c>
      <c r="I74" s="151">
        <v>1168191.5054925072</v>
      </c>
      <c r="J74" s="151">
        <v>1557588.6739900098</v>
      </c>
      <c r="K74" s="151">
        <v>1946985.8424875122</v>
      </c>
      <c r="L74" s="151">
        <v>2336383.0109850145</v>
      </c>
      <c r="N74" s="43">
        <v>1661312.6606196568</v>
      </c>
      <c r="O74" s="43">
        <v>2491968.9909294848</v>
      </c>
      <c r="P74" s="43">
        <v>3322625.3212393136</v>
      </c>
      <c r="Q74" s="43">
        <v>4153281.6515491419</v>
      </c>
      <c r="R74" s="43">
        <v>4983937.9818589697</v>
      </c>
      <c r="AN74" s="87"/>
    </row>
    <row r="75" spans="1:40">
      <c r="A75" s="116">
        <v>2028</v>
      </c>
      <c r="B75" s="43">
        <v>1090299.7387841095</v>
      </c>
      <c r="C75" s="43">
        <v>1635449.6081761641</v>
      </c>
      <c r="D75" s="43">
        <v>2180599.477568219</v>
      </c>
      <c r="E75" s="43">
        <v>2725749.346960274</v>
      </c>
      <c r="F75" s="43">
        <v>3270899.2163523282</v>
      </c>
      <c r="G75" s="43"/>
      <c r="H75" s="151">
        <v>1220616.1292604182</v>
      </c>
      <c r="I75" s="151">
        <v>1830924.193890627</v>
      </c>
      <c r="J75" s="151">
        <v>2441232.2585208365</v>
      </c>
      <c r="K75" s="151">
        <v>3051540.3231510455</v>
      </c>
      <c r="L75" s="151">
        <v>3661848.387781254</v>
      </c>
      <c r="N75" s="43">
        <v>1429850.4255334737</v>
      </c>
      <c r="O75" s="43">
        <v>2144775.6383002107</v>
      </c>
      <c r="P75" s="43">
        <v>2859700.8510669474</v>
      </c>
      <c r="Q75" s="43">
        <v>3574626.0638336847</v>
      </c>
      <c r="R75" s="43">
        <v>4289551.2766004214</v>
      </c>
      <c r="AN75" s="87"/>
    </row>
    <row r="76" spans="1:40">
      <c r="A76" s="116">
        <v>2029</v>
      </c>
      <c r="B76" s="43">
        <v>1325743.8093223791</v>
      </c>
      <c r="C76" s="43">
        <v>1988615.7139835684</v>
      </c>
      <c r="D76" s="43">
        <v>2651487.6186447581</v>
      </c>
      <c r="E76" s="43">
        <v>3314359.5233059474</v>
      </c>
      <c r="F76" s="43">
        <v>3977231.4279671367</v>
      </c>
      <c r="G76" s="43"/>
      <c r="H76" s="151">
        <v>1220616.1292604182</v>
      </c>
      <c r="I76" s="151">
        <v>1830924.193890627</v>
      </c>
      <c r="J76" s="151">
        <v>2441232.2585208365</v>
      </c>
      <c r="K76" s="151">
        <v>3051540.3231510455</v>
      </c>
      <c r="L76" s="151">
        <v>3661848.387781254</v>
      </c>
      <c r="N76" s="43">
        <v>1429850.4255334737</v>
      </c>
      <c r="O76" s="43">
        <v>2144775.6383002107</v>
      </c>
      <c r="P76" s="43">
        <v>2859700.8510669474</v>
      </c>
      <c r="Q76" s="43">
        <v>3574626.0638336847</v>
      </c>
      <c r="R76" s="43">
        <v>4289551.2766004214</v>
      </c>
      <c r="AN76" s="87"/>
    </row>
    <row r="77" spans="1:40">
      <c r="A77" s="116">
        <v>2030</v>
      </c>
      <c r="B77" s="43">
        <v>1615482.9923162353</v>
      </c>
      <c r="C77" s="43">
        <v>2423224.4884743528</v>
      </c>
      <c r="D77" s="43">
        <v>3230965.9846324706</v>
      </c>
      <c r="E77" s="43">
        <v>4038707.4807905885</v>
      </c>
      <c r="F77" s="43">
        <v>4846448.9769487055</v>
      </c>
      <c r="G77" s="43"/>
      <c r="H77" s="151">
        <v>1580145.2320836473</v>
      </c>
      <c r="I77" s="151">
        <v>2370217.8481254708</v>
      </c>
      <c r="J77" s="151">
        <v>3160290.4641672946</v>
      </c>
      <c r="K77" s="151">
        <v>3950363.0802091183</v>
      </c>
      <c r="L77" s="151">
        <v>4740435.6962509416</v>
      </c>
      <c r="N77" s="43">
        <v>1429850.4255334737</v>
      </c>
      <c r="O77" s="43">
        <v>2144775.6383002107</v>
      </c>
      <c r="P77" s="43">
        <v>2859700.8510669474</v>
      </c>
      <c r="Q77" s="43">
        <v>3574626.0638336847</v>
      </c>
      <c r="R77" s="43">
        <v>4289551.2766004214</v>
      </c>
      <c r="AN77" s="87"/>
    </row>
    <row r="78" spans="1:40">
      <c r="A78" s="116">
        <v>2031</v>
      </c>
      <c r="B78" s="43">
        <v>1615482.9923162353</v>
      </c>
      <c r="C78" s="43">
        <v>2423224.4884743528</v>
      </c>
      <c r="D78" s="43">
        <v>3230965.9846324706</v>
      </c>
      <c r="E78" s="43">
        <v>4038707.4807905885</v>
      </c>
      <c r="F78" s="43">
        <v>4846448.9769487055</v>
      </c>
      <c r="G78" s="43"/>
      <c r="H78" s="151">
        <v>2008532.7994655462</v>
      </c>
      <c r="I78" s="151">
        <v>3012799.1991983191</v>
      </c>
      <c r="J78" s="151">
        <v>4017065.5989310923</v>
      </c>
      <c r="K78" s="151">
        <v>5021331.998663865</v>
      </c>
      <c r="L78" s="151">
        <v>6025598.3983966382</v>
      </c>
      <c r="N78" s="43">
        <v>1429850.4255334737</v>
      </c>
      <c r="O78" s="43">
        <v>2144775.6383002107</v>
      </c>
      <c r="P78" s="43">
        <v>2859700.8510669474</v>
      </c>
      <c r="Q78" s="43">
        <v>3574626.0638336847</v>
      </c>
      <c r="R78" s="43">
        <v>4289551.2766004214</v>
      </c>
      <c r="AN78" s="87"/>
    </row>
    <row r="79" spans="1:40">
      <c r="A79" s="116">
        <v>2060</v>
      </c>
      <c r="B79" s="43">
        <v>1401218.2933162353</v>
      </c>
      <c r="C79" s="43">
        <v>2101827.4399743527</v>
      </c>
      <c r="D79" s="43">
        <v>2802436.5866324706</v>
      </c>
      <c r="E79" s="43">
        <v>3503045.7332905885</v>
      </c>
      <c r="F79" s="43">
        <v>4203654.8799487054</v>
      </c>
      <c r="G79" s="43"/>
      <c r="H79" s="151">
        <v>1794268.1004655459</v>
      </c>
      <c r="I79" s="151">
        <v>2691402.1506983186</v>
      </c>
      <c r="J79" s="151">
        <v>3588536.2009310918</v>
      </c>
      <c r="K79" s="151">
        <v>4485670.2511638654</v>
      </c>
      <c r="L79" s="151">
        <v>5382804.3013966372</v>
      </c>
      <c r="N79" s="43">
        <v>1215585.7265334737</v>
      </c>
      <c r="O79" s="43">
        <v>1823378.5898002104</v>
      </c>
      <c r="P79" s="43">
        <v>2431171.4530669474</v>
      </c>
      <c r="Q79" s="43">
        <v>3038964.3163336846</v>
      </c>
      <c r="R79" s="43">
        <v>3646757.1796004209</v>
      </c>
      <c r="AN79" s="87"/>
    </row>
    <row r="81" spans="1:18" ht="30.75" customHeight="1">
      <c r="B81" s="237" t="s">
        <v>233</v>
      </c>
      <c r="C81" s="237"/>
      <c r="D81" s="237"/>
      <c r="E81" s="237"/>
      <c r="F81" s="237"/>
      <c r="H81" s="237" t="s">
        <v>234</v>
      </c>
      <c r="I81" s="237"/>
      <c r="J81" s="237"/>
      <c r="K81" s="237"/>
      <c r="L81" s="237"/>
      <c r="N81" s="237" t="s">
        <v>235</v>
      </c>
      <c r="O81" s="237"/>
      <c r="P81" s="237"/>
      <c r="Q81" s="237"/>
      <c r="R81" s="237"/>
    </row>
    <row r="82" spans="1:18">
      <c r="A82" s="87" t="s">
        <v>6</v>
      </c>
      <c r="B82" s="87">
        <f>1500000*B65</f>
        <v>7500</v>
      </c>
      <c r="C82" s="155">
        <f t="shared" ref="C82:F82" si="56">1500000*C65</f>
        <v>11250</v>
      </c>
      <c r="D82" s="155">
        <f t="shared" si="56"/>
        <v>15000</v>
      </c>
      <c r="E82" s="155">
        <f t="shared" si="56"/>
        <v>18750</v>
      </c>
      <c r="F82" s="155">
        <f t="shared" si="56"/>
        <v>22500</v>
      </c>
      <c r="H82" s="155">
        <f>1500000*H65</f>
        <v>7500</v>
      </c>
      <c r="I82" s="155">
        <f t="shared" ref="I82:L82" si="57">1500000*I65</f>
        <v>11250</v>
      </c>
      <c r="J82" s="155">
        <f t="shared" si="57"/>
        <v>15000</v>
      </c>
      <c r="K82" s="155">
        <f t="shared" si="57"/>
        <v>18750</v>
      </c>
      <c r="L82" s="155">
        <f t="shared" si="57"/>
        <v>22500</v>
      </c>
      <c r="N82" s="155">
        <f>1500000*N65</f>
        <v>7500</v>
      </c>
      <c r="O82" s="155">
        <f t="shared" ref="O82:R82" si="58">1500000*O65</f>
        <v>11250</v>
      </c>
      <c r="P82" s="155">
        <f t="shared" si="58"/>
        <v>15000</v>
      </c>
      <c r="Q82" s="155">
        <f t="shared" si="58"/>
        <v>18750</v>
      </c>
      <c r="R82" s="155">
        <f t="shared" si="58"/>
        <v>22500</v>
      </c>
    </row>
    <row r="83" spans="1:18">
      <c r="A83" s="87">
        <v>2019</v>
      </c>
      <c r="B83" s="43">
        <f>B66/48000</f>
        <v>0.15096098881838682</v>
      </c>
      <c r="C83" s="43">
        <f t="shared" ref="C83:F83" si="59">C66/48000</f>
        <v>0.2264414832275802</v>
      </c>
      <c r="D83" s="43">
        <f t="shared" si="59"/>
        <v>0.30192197763677364</v>
      </c>
      <c r="E83" s="43">
        <f t="shared" si="59"/>
        <v>0.37740247204596705</v>
      </c>
      <c r="F83" s="43">
        <f t="shared" si="59"/>
        <v>0.45288296645516041</v>
      </c>
      <c r="G83" s="43"/>
      <c r="H83" s="43">
        <f t="shared" ref="H83:R83" si="60">H66/48000</f>
        <v>0.1599308130371368</v>
      </c>
      <c r="I83" s="43">
        <f t="shared" si="60"/>
        <v>0.23989621955570523</v>
      </c>
      <c r="J83" s="43">
        <f t="shared" si="60"/>
        <v>0.3198616260742736</v>
      </c>
      <c r="K83" s="43">
        <f t="shared" si="60"/>
        <v>0.39982703259284208</v>
      </c>
      <c r="L83" s="43">
        <f t="shared" si="60"/>
        <v>0.47979243911141045</v>
      </c>
      <c r="M83" s="43"/>
      <c r="N83" s="43">
        <f t="shared" si="60"/>
        <v>0.2080741698316422</v>
      </c>
      <c r="O83" s="43">
        <f t="shared" si="60"/>
        <v>0.31211125474746326</v>
      </c>
      <c r="P83" s="43">
        <f t="shared" si="60"/>
        <v>0.41614833966328441</v>
      </c>
      <c r="Q83" s="43">
        <f t="shared" si="60"/>
        <v>0.52018542457910555</v>
      </c>
      <c r="R83" s="43">
        <f t="shared" si="60"/>
        <v>0.62422250949492653</v>
      </c>
    </row>
    <row r="84" spans="1:18">
      <c r="A84" s="87">
        <v>2020</v>
      </c>
      <c r="B84" s="43">
        <f t="shared" ref="B84:F96" si="61">B67/48000</f>
        <v>0.4385154596774925</v>
      </c>
      <c r="C84" s="43">
        <f t="shared" si="61"/>
        <v>0.65777318951623875</v>
      </c>
      <c r="D84" s="43">
        <f t="shared" si="61"/>
        <v>0.87703091935498501</v>
      </c>
      <c r="E84" s="43">
        <f t="shared" si="61"/>
        <v>1.0962886491937314</v>
      </c>
      <c r="F84" s="43">
        <f t="shared" si="61"/>
        <v>1.3155463790324775</v>
      </c>
      <c r="G84" s="43"/>
      <c r="H84" s="43">
        <f t="shared" ref="H84:R84" si="62">H67/48000</f>
        <v>0.45047522530249257</v>
      </c>
      <c r="I84" s="43">
        <f t="shared" si="62"/>
        <v>0.67571283795373882</v>
      </c>
      <c r="J84" s="43">
        <f t="shared" si="62"/>
        <v>0.90095045060498513</v>
      </c>
      <c r="K84" s="43">
        <f t="shared" si="62"/>
        <v>1.1261880632562313</v>
      </c>
      <c r="L84" s="43">
        <f t="shared" si="62"/>
        <v>1.3514256759074776</v>
      </c>
      <c r="M84" s="43"/>
      <c r="N84" s="43">
        <f t="shared" si="62"/>
        <v>1.1693616447684048</v>
      </c>
      <c r="O84" s="43">
        <f t="shared" si="62"/>
        <v>1.7540424671526074</v>
      </c>
      <c r="P84" s="43">
        <f t="shared" si="62"/>
        <v>2.3387232895368095</v>
      </c>
      <c r="Q84" s="43">
        <f t="shared" si="62"/>
        <v>2.9234041119210126</v>
      </c>
      <c r="R84" s="43">
        <f t="shared" si="62"/>
        <v>3.5080849343052147</v>
      </c>
    </row>
    <row r="85" spans="1:18">
      <c r="A85" s="87">
        <v>2021</v>
      </c>
      <c r="B85" s="43">
        <f t="shared" si="61"/>
        <v>1.2994002285533472</v>
      </c>
      <c r="C85" s="43">
        <f t="shared" si="61"/>
        <v>1.9491003428300206</v>
      </c>
      <c r="D85" s="43">
        <f t="shared" si="61"/>
        <v>2.5988004571066945</v>
      </c>
      <c r="E85" s="43">
        <f t="shared" si="61"/>
        <v>3.2485005713833681</v>
      </c>
      <c r="F85" s="43">
        <f t="shared" si="61"/>
        <v>3.8982006856600413</v>
      </c>
      <c r="G85" s="43"/>
      <c r="H85" s="43">
        <f t="shared" ref="H85:R85" si="63">H68/48000</f>
        <v>1.3113599941783474</v>
      </c>
      <c r="I85" s="43">
        <f t="shared" si="63"/>
        <v>1.9670399912675209</v>
      </c>
      <c r="J85" s="43">
        <f t="shared" si="63"/>
        <v>2.6227199883566947</v>
      </c>
      <c r="K85" s="43">
        <f t="shared" si="63"/>
        <v>3.2783999854458683</v>
      </c>
      <c r="L85" s="43">
        <f t="shared" si="63"/>
        <v>3.9340799825350419</v>
      </c>
      <c r="M85" s="43"/>
      <c r="N85" s="43">
        <f t="shared" si="63"/>
        <v>3.0220366650311044</v>
      </c>
      <c r="O85" s="43">
        <f t="shared" si="63"/>
        <v>4.5330549975466568</v>
      </c>
      <c r="P85" s="43">
        <f t="shared" si="63"/>
        <v>6.0440733300622087</v>
      </c>
      <c r="Q85" s="43">
        <f t="shared" si="63"/>
        <v>7.5550916625777607</v>
      </c>
      <c r="R85" s="43">
        <f t="shared" si="63"/>
        <v>9.0661099950933135</v>
      </c>
    </row>
    <row r="86" spans="1:18">
      <c r="A86" s="87">
        <v>2022</v>
      </c>
      <c r="B86" s="43">
        <f t="shared" si="61"/>
        <v>2.9739259106688993</v>
      </c>
      <c r="C86" s="43">
        <f t="shared" si="61"/>
        <v>4.4608888660033488</v>
      </c>
      <c r="D86" s="43">
        <f t="shared" si="61"/>
        <v>5.9478518213377987</v>
      </c>
      <c r="E86" s="43">
        <f t="shared" si="61"/>
        <v>7.4348147766722494</v>
      </c>
      <c r="F86" s="43">
        <f t="shared" si="61"/>
        <v>8.9217777320066975</v>
      </c>
      <c r="G86" s="43"/>
      <c r="H86" s="43">
        <f t="shared" ref="H86:R86" si="64">H69/48000</f>
        <v>3.1086974871731474</v>
      </c>
      <c r="I86" s="43">
        <f t="shared" si="64"/>
        <v>4.6630462307597211</v>
      </c>
      <c r="J86" s="43">
        <f t="shared" si="64"/>
        <v>6.2173949743462948</v>
      </c>
      <c r="K86" s="43">
        <f t="shared" si="64"/>
        <v>7.7717437179328686</v>
      </c>
      <c r="L86" s="43">
        <f t="shared" si="64"/>
        <v>9.3260924615194423</v>
      </c>
      <c r="M86" s="43"/>
      <c r="N86" s="43">
        <f t="shared" si="64"/>
        <v>11.886426402708491</v>
      </c>
      <c r="O86" s="43">
        <f t="shared" si="64"/>
        <v>17.829639604062734</v>
      </c>
      <c r="P86" s="43">
        <f t="shared" si="64"/>
        <v>23.772852805416981</v>
      </c>
      <c r="Q86" s="43">
        <f t="shared" si="64"/>
        <v>29.716066006771232</v>
      </c>
      <c r="R86" s="43">
        <f t="shared" si="64"/>
        <v>35.659279208125469</v>
      </c>
    </row>
    <row r="87" spans="1:18">
      <c r="A87" s="87">
        <v>2023</v>
      </c>
      <c r="B87" s="43">
        <f t="shared" si="61"/>
        <v>10.673491151691941</v>
      </c>
      <c r="C87" s="43">
        <f t="shared" si="61"/>
        <v>16.010236727537912</v>
      </c>
      <c r="D87" s="43">
        <f t="shared" si="61"/>
        <v>21.346982303383882</v>
      </c>
      <c r="E87" s="43">
        <f t="shared" si="61"/>
        <v>26.683727879229856</v>
      </c>
      <c r="F87" s="43">
        <f t="shared" si="61"/>
        <v>32.020473455075823</v>
      </c>
      <c r="G87" s="43"/>
      <c r="H87" s="43">
        <f t="shared" ref="H87:R87" si="65">H70/48000</f>
        <v>7.0894714320835446</v>
      </c>
      <c r="I87" s="43">
        <f t="shared" si="65"/>
        <v>10.634207148125315</v>
      </c>
      <c r="J87" s="43">
        <f t="shared" si="65"/>
        <v>14.178942864167089</v>
      </c>
      <c r="K87" s="43">
        <f t="shared" si="65"/>
        <v>17.723678580208862</v>
      </c>
      <c r="L87" s="43">
        <f t="shared" si="65"/>
        <v>21.268414296250629</v>
      </c>
      <c r="M87" s="43"/>
      <c r="N87" s="43">
        <f t="shared" si="65"/>
        <v>11.886426402708491</v>
      </c>
      <c r="O87" s="43">
        <f t="shared" si="65"/>
        <v>17.829639604062734</v>
      </c>
      <c r="P87" s="43">
        <f t="shared" si="65"/>
        <v>23.772852805416981</v>
      </c>
      <c r="Q87" s="43">
        <f t="shared" si="65"/>
        <v>29.716066006771232</v>
      </c>
      <c r="R87" s="43">
        <f t="shared" si="65"/>
        <v>35.659279208125469</v>
      </c>
    </row>
    <row r="88" spans="1:18">
      <c r="A88" s="155">
        <v>2024</v>
      </c>
      <c r="B88" s="43">
        <f t="shared" si="61"/>
        <v>10.673491151691941</v>
      </c>
      <c r="C88" s="43">
        <f t="shared" si="61"/>
        <v>16.010236727537912</v>
      </c>
      <c r="D88" s="43">
        <f t="shared" si="61"/>
        <v>21.346982303383882</v>
      </c>
      <c r="E88" s="43">
        <f t="shared" si="61"/>
        <v>26.683727879229856</v>
      </c>
      <c r="F88" s="43">
        <f t="shared" si="61"/>
        <v>32.020473455075823</v>
      </c>
      <c r="G88" s="43"/>
      <c r="H88" s="43">
        <f t="shared" ref="H88:R88" si="66">H71/48000</f>
        <v>7.0894714320835446</v>
      </c>
      <c r="I88" s="43">
        <f t="shared" si="66"/>
        <v>10.634207148125315</v>
      </c>
      <c r="J88" s="43">
        <f t="shared" si="66"/>
        <v>14.178942864167089</v>
      </c>
      <c r="K88" s="43">
        <f t="shared" si="66"/>
        <v>17.723678580208862</v>
      </c>
      <c r="L88" s="43">
        <f t="shared" si="66"/>
        <v>21.268414296250629</v>
      </c>
      <c r="M88" s="43"/>
      <c r="N88" s="43">
        <f t="shared" si="66"/>
        <v>11.886426402708491</v>
      </c>
      <c r="O88" s="43">
        <f t="shared" si="66"/>
        <v>17.829639604062734</v>
      </c>
      <c r="P88" s="43">
        <f t="shared" si="66"/>
        <v>23.772852805416981</v>
      </c>
      <c r="Q88" s="43">
        <f t="shared" si="66"/>
        <v>29.716066006771232</v>
      </c>
      <c r="R88" s="43">
        <f t="shared" si="66"/>
        <v>35.659279208125469</v>
      </c>
    </row>
    <row r="89" spans="1:18">
      <c r="A89" s="155">
        <v>2025</v>
      </c>
      <c r="B89" s="43">
        <f t="shared" si="61"/>
        <v>19.717101647569944</v>
      </c>
      <c r="C89" s="43">
        <f t="shared" si="61"/>
        <v>29.575652471354914</v>
      </c>
      <c r="D89" s="43">
        <f t="shared" si="61"/>
        <v>39.434203295139888</v>
      </c>
      <c r="E89" s="43">
        <f t="shared" si="61"/>
        <v>49.292754118924861</v>
      </c>
      <c r="F89" s="43">
        <f t="shared" si="61"/>
        <v>59.151304942709828</v>
      </c>
      <c r="G89" s="43"/>
      <c r="H89" s="43">
        <f t="shared" ref="H89:R89" si="67">H72/48000</f>
        <v>16.224882020729268</v>
      </c>
      <c r="I89" s="43">
        <f t="shared" si="67"/>
        <v>24.337323031093902</v>
      </c>
      <c r="J89" s="43">
        <f t="shared" si="67"/>
        <v>32.449764041458536</v>
      </c>
      <c r="K89" s="43">
        <f t="shared" si="67"/>
        <v>40.56220505182317</v>
      </c>
      <c r="L89" s="43">
        <f t="shared" si="67"/>
        <v>48.674646062187804</v>
      </c>
      <c r="M89" s="43"/>
      <c r="N89" s="43">
        <f t="shared" si="67"/>
        <v>19.622440386970197</v>
      </c>
      <c r="O89" s="43">
        <f t="shared" si="67"/>
        <v>29.433660580455296</v>
      </c>
      <c r="P89" s="43">
        <f t="shared" si="67"/>
        <v>39.244880773940395</v>
      </c>
      <c r="Q89" s="43">
        <f t="shared" si="67"/>
        <v>49.056100967425493</v>
      </c>
      <c r="R89" s="43">
        <f t="shared" si="67"/>
        <v>58.867321160910592</v>
      </c>
    </row>
    <row r="90" spans="1:18">
      <c r="A90" s="155">
        <v>2026</v>
      </c>
      <c r="B90" s="43">
        <f t="shared" si="61"/>
        <v>19.717101647569944</v>
      </c>
      <c r="C90" s="43">
        <f t="shared" si="61"/>
        <v>29.575652471354914</v>
      </c>
      <c r="D90" s="43">
        <f t="shared" si="61"/>
        <v>39.434203295139888</v>
      </c>
      <c r="E90" s="43">
        <f t="shared" si="61"/>
        <v>49.292754118924861</v>
      </c>
      <c r="F90" s="43">
        <f t="shared" si="61"/>
        <v>59.151304942709828</v>
      </c>
      <c r="G90" s="43"/>
      <c r="H90" s="43">
        <f t="shared" ref="H90:R90" si="68">H73/48000</f>
        <v>16.224882020729268</v>
      </c>
      <c r="I90" s="43">
        <f t="shared" si="68"/>
        <v>24.337323031093902</v>
      </c>
      <c r="J90" s="43">
        <f t="shared" si="68"/>
        <v>32.449764041458536</v>
      </c>
      <c r="K90" s="43">
        <f t="shared" si="68"/>
        <v>40.56220505182317</v>
      </c>
      <c r="L90" s="43">
        <f t="shared" si="68"/>
        <v>48.674646062187804</v>
      </c>
      <c r="M90" s="43"/>
      <c r="N90" s="43">
        <f t="shared" si="68"/>
        <v>19.622440386970197</v>
      </c>
      <c r="O90" s="43">
        <f t="shared" si="68"/>
        <v>29.433660580455296</v>
      </c>
      <c r="P90" s="43">
        <f t="shared" si="68"/>
        <v>39.244880773940395</v>
      </c>
      <c r="Q90" s="43">
        <f t="shared" si="68"/>
        <v>49.056100967425493</v>
      </c>
      <c r="R90" s="43">
        <f t="shared" si="68"/>
        <v>58.867321160910592</v>
      </c>
    </row>
    <row r="91" spans="1:18">
      <c r="A91" s="155">
        <v>2027</v>
      </c>
      <c r="B91" s="43">
        <f t="shared" si="61"/>
        <v>19.717101647569944</v>
      </c>
      <c r="C91" s="43">
        <f t="shared" si="61"/>
        <v>29.575652471354914</v>
      </c>
      <c r="D91" s="43">
        <f t="shared" si="61"/>
        <v>39.434203295139888</v>
      </c>
      <c r="E91" s="43">
        <f t="shared" si="61"/>
        <v>49.292754118924861</v>
      </c>
      <c r="F91" s="43">
        <f t="shared" si="61"/>
        <v>59.151304942709828</v>
      </c>
      <c r="G91" s="43"/>
      <c r="H91" s="43">
        <f t="shared" ref="H91:R91" si="69">H74/48000</f>
        <v>16.224882020729268</v>
      </c>
      <c r="I91" s="43">
        <f t="shared" si="69"/>
        <v>24.337323031093902</v>
      </c>
      <c r="J91" s="43">
        <f t="shared" si="69"/>
        <v>32.449764041458536</v>
      </c>
      <c r="K91" s="43">
        <f t="shared" si="69"/>
        <v>40.56220505182317</v>
      </c>
      <c r="L91" s="43">
        <f t="shared" si="69"/>
        <v>48.674646062187804</v>
      </c>
      <c r="M91" s="43"/>
      <c r="N91" s="43">
        <f t="shared" si="69"/>
        <v>34.610680429576185</v>
      </c>
      <c r="O91" s="43">
        <f t="shared" si="69"/>
        <v>51.916020644364266</v>
      </c>
      <c r="P91" s="43">
        <f t="shared" si="69"/>
        <v>69.221360859152369</v>
      </c>
      <c r="Q91" s="43">
        <f t="shared" si="69"/>
        <v>86.526701073940458</v>
      </c>
      <c r="R91" s="43">
        <f t="shared" si="69"/>
        <v>103.83204128872853</v>
      </c>
    </row>
    <row r="92" spans="1:18">
      <c r="A92" s="155">
        <v>2028</v>
      </c>
      <c r="B92" s="43">
        <f t="shared" si="61"/>
        <v>22.714577891335615</v>
      </c>
      <c r="C92" s="43">
        <f t="shared" si="61"/>
        <v>34.071866837003419</v>
      </c>
      <c r="D92" s="43">
        <f t="shared" si="61"/>
        <v>45.429155782671231</v>
      </c>
      <c r="E92" s="43">
        <f t="shared" si="61"/>
        <v>56.786444728339042</v>
      </c>
      <c r="F92" s="43">
        <f t="shared" si="61"/>
        <v>68.143733674006839</v>
      </c>
      <c r="G92" s="43"/>
      <c r="H92" s="43">
        <f t="shared" ref="H92:R92" si="70">H75/48000</f>
        <v>25.429502692925379</v>
      </c>
      <c r="I92" s="43">
        <f t="shared" si="70"/>
        <v>38.144254039388059</v>
      </c>
      <c r="J92" s="43">
        <f t="shared" si="70"/>
        <v>50.859005385850757</v>
      </c>
      <c r="K92" s="43">
        <f t="shared" si="70"/>
        <v>63.573756732313448</v>
      </c>
      <c r="L92" s="43">
        <f t="shared" si="70"/>
        <v>76.288508078776118</v>
      </c>
      <c r="M92" s="43"/>
      <c r="N92" s="43">
        <f t="shared" si="70"/>
        <v>29.788550531947369</v>
      </c>
      <c r="O92" s="43">
        <f t="shared" si="70"/>
        <v>44.682825797921055</v>
      </c>
      <c r="P92" s="43">
        <f t="shared" si="70"/>
        <v>59.577101063894737</v>
      </c>
      <c r="Q92" s="43">
        <f t="shared" si="70"/>
        <v>74.471376329868434</v>
      </c>
      <c r="R92" s="43">
        <f t="shared" si="70"/>
        <v>89.36565159584211</v>
      </c>
    </row>
    <row r="93" spans="1:18">
      <c r="A93" s="155">
        <v>2029</v>
      </c>
      <c r="B93" s="43">
        <f t="shared" si="61"/>
        <v>27.619662694216231</v>
      </c>
      <c r="C93" s="43">
        <f t="shared" si="61"/>
        <v>41.42949404132434</v>
      </c>
      <c r="D93" s="43">
        <f t="shared" si="61"/>
        <v>55.239325388432462</v>
      </c>
      <c r="E93" s="43">
        <f t="shared" si="61"/>
        <v>69.049156735540578</v>
      </c>
      <c r="F93" s="43">
        <f t="shared" si="61"/>
        <v>82.858988082648679</v>
      </c>
      <c r="G93" s="43"/>
      <c r="H93" s="43">
        <f t="shared" ref="H93:R93" si="71">H76/48000</f>
        <v>25.429502692925379</v>
      </c>
      <c r="I93" s="43">
        <f t="shared" si="71"/>
        <v>38.144254039388059</v>
      </c>
      <c r="J93" s="43">
        <f t="shared" si="71"/>
        <v>50.859005385850757</v>
      </c>
      <c r="K93" s="43">
        <f t="shared" si="71"/>
        <v>63.573756732313448</v>
      </c>
      <c r="L93" s="43">
        <f t="shared" si="71"/>
        <v>76.288508078776118</v>
      </c>
      <c r="M93" s="43"/>
      <c r="N93" s="43">
        <f t="shared" si="71"/>
        <v>29.788550531947369</v>
      </c>
      <c r="O93" s="43">
        <f t="shared" si="71"/>
        <v>44.682825797921055</v>
      </c>
      <c r="P93" s="43">
        <f t="shared" si="71"/>
        <v>59.577101063894737</v>
      </c>
      <c r="Q93" s="43">
        <f t="shared" si="71"/>
        <v>74.471376329868434</v>
      </c>
      <c r="R93" s="43">
        <f t="shared" si="71"/>
        <v>89.36565159584211</v>
      </c>
    </row>
    <row r="94" spans="1:18">
      <c r="A94" s="155">
        <v>2030</v>
      </c>
      <c r="B94" s="43">
        <f t="shared" si="61"/>
        <v>33.655895673254903</v>
      </c>
      <c r="C94" s="43">
        <f t="shared" si="61"/>
        <v>50.483843509882348</v>
      </c>
      <c r="D94" s="43">
        <f t="shared" si="61"/>
        <v>67.311791346509807</v>
      </c>
      <c r="E94" s="43">
        <f t="shared" si="61"/>
        <v>84.139739183137266</v>
      </c>
      <c r="F94" s="43">
        <f t="shared" si="61"/>
        <v>100.9676870197647</v>
      </c>
      <c r="G94" s="43"/>
      <c r="H94" s="43">
        <f t="shared" ref="H94:R94" si="72">H77/48000</f>
        <v>32.919692335075986</v>
      </c>
      <c r="I94" s="43">
        <f t="shared" si="72"/>
        <v>49.379538502613975</v>
      </c>
      <c r="J94" s="43">
        <f t="shared" si="72"/>
        <v>65.839384670151972</v>
      </c>
      <c r="K94" s="43">
        <f t="shared" si="72"/>
        <v>82.299230837689962</v>
      </c>
      <c r="L94" s="43">
        <f t="shared" si="72"/>
        <v>98.759077005227951</v>
      </c>
      <c r="M94" s="43"/>
      <c r="N94" s="43">
        <f t="shared" si="72"/>
        <v>29.788550531947369</v>
      </c>
      <c r="O94" s="43">
        <f t="shared" si="72"/>
        <v>44.682825797921055</v>
      </c>
      <c r="P94" s="43">
        <f t="shared" si="72"/>
        <v>59.577101063894737</v>
      </c>
      <c r="Q94" s="43">
        <f t="shared" si="72"/>
        <v>74.471376329868434</v>
      </c>
      <c r="R94" s="43">
        <f t="shared" si="72"/>
        <v>89.36565159584211</v>
      </c>
    </row>
    <row r="95" spans="1:18">
      <c r="A95" s="155">
        <v>2031</v>
      </c>
      <c r="B95" s="43">
        <f t="shared" si="61"/>
        <v>33.655895673254903</v>
      </c>
      <c r="C95" s="43">
        <f t="shared" si="61"/>
        <v>50.483843509882348</v>
      </c>
      <c r="D95" s="43">
        <f t="shared" si="61"/>
        <v>67.311791346509807</v>
      </c>
      <c r="E95" s="43">
        <f t="shared" si="61"/>
        <v>84.139739183137266</v>
      </c>
      <c r="F95" s="43">
        <f t="shared" si="61"/>
        <v>100.9676870197647</v>
      </c>
      <c r="G95" s="43"/>
      <c r="H95" s="43">
        <f t="shared" ref="H95:R95" si="73">H78/48000</f>
        <v>41.844433322198881</v>
      </c>
      <c r="I95" s="43">
        <f t="shared" si="73"/>
        <v>62.766649983298315</v>
      </c>
      <c r="J95" s="43">
        <f t="shared" si="73"/>
        <v>83.688866644397763</v>
      </c>
      <c r="K95" s="43">
        <f t="shared" si="73"/>
        <v>104.61108330549719</v>
      </c>
      <c r="L95" s="43">
        <f t="shared" si="73"/>
        <v>125.53329996659663</v>
      </c>
      <c r="M95" s="43"/>
      <c r="N95" s="43">
        <f t="shared" si="73"/>
        <v>29.788550531947369</v>
      </c>
      <c r="O95" s="43">
        <f t="shared" si="73"/>
        <v>44.682825797921055</v>
      </c>
      <c r="P95" s="43">
        <f t="shared" si="73"/>
        <v>59.577101063894737</v>
      </c>
      <c r="Q95" s="43">
        <f t="shared" si="73"/>
        <v>74.471376329868434</v>
      </c>
      <c r="R95" s="43">
        <f t="shared" si="73"/>
        <v>89.36565159584211</v>
      </c>
    </row>
    <row r="96" spans="1:18">
      <c r="A96" s="155">
        <v>2060</v>
      </c>
      <c r="B96" s="43">
        <f t="shared" si="61"/>
        <v>29.192047777421568</v>
      </c>
      <c r="C96" s="43">
        <f t="shared" si="61"/>
        <v>43.788071666132346</v>
      </c>
      <c r="D96" s="43">
        <f t="shared" si="61"/>
        <v>58.384095554843135</v>
      </c>
      <c r="E96" s="43">
        <f t="shared" si="61"/>
        <v>72.980119443553932</v>
      </c>
      <c r="F96" s="43">
        <f t="shared" si="61"/>
        <v>87.576143332264692</v>
      </c>
      <c r="G96" s="43"/>
      <c r="H96" s="43">
        <f t="shared" ref="H96:R96" si="74">H79/48000</f>
        <v>37.380585426365542</v>
      </c>
      <c r="I96" s="43">
        <f t="shared" si="74"/>
        <v>56.070878139548306</v>
      </c>
      <c r="J96" s="43">
        <f t="shared" si="74"/>
        <v>74.761170852731084</v>
      </c>
      <c r="K96" s="43">
        <f t="shared" si="74"/>
        <v>93.451463565913869</v>
      </c>
      <c r="L96" s="43">
        <f t="shared" si="74"/>
        <v>112.14175627909661</v>
      </c>
      <c r="M96" s="43"/>
      <c r="N96" s="43">
        <f t="shared" si="74"/>
        <v>25.324702636114036</v>
      </c>
      <c r="O96" s="43">
        <f t="shared" si="74"/>
        <v>37.987053954171053</v>
      </c>
      <c r="P96" s="43">
        <f t="shared" si="74"/>
        <v>50.649405272228073</v>
      </c>
      <c r="Q96" s="43">
        <f t="shared" si="74"/>
        <v>63.311756590285093</v>
      </c>
      <c r="R96" s="43">
        <f t="shared" si="74"/>
        <v>75.974107908342106</v>
      </c>
    </row>
    <row r="101" spans="1:5">
      <c r="A101" s="170" t="s">
        <v>6</v>
      </c>
      <c r="B101" s="87" t="s">
        <v>343</v>
      </c>
      <c r="C101" s="87" t="s">
        <v>344</v>
      </c>
      <c r="D101" s="91" t="s">
        <v>345</v>
      </c>
      <c r="E101" s="87" t="s">
        <v>344</v>
      </c>
    </row>
    <row r="102" spans="1:5">
      <c r="A102" s="170">
        <v>2019</v>
      </c>
      <c r="B102" s="43">
        <f>5000*D4</f>
        <v>20011.398683464697</v>
      </c>
      <c r="C102" s="43">
        <f>B102/48000</f>
        <v>0.41690413923884784</v>
      </c>
      <c r="D102" s="152">
        <f>2500*D4</f>
        <v>10005.699341732348</v>
      </c>
      <c r="E102" s="43">
        <f>D102/48000</f>
        <v>0.20845206961942392</v>
      </c>
    </row>
    <row r="103" spans="1:5">
      <c r="A103" s="170">
        <v>2020</v>
      </c>
      <c r="B103" s="43">
        <f t="shared" ref="B103:B118" si="75">5000*D5</f>
        <v>58129.638399667609</v>
      </c>
      <c r="C103" s="43">
        <f t="shared" ref="C103:C118" si="76">B103/48000</f>
        <v>1.2110341333264085</v>
      </c>
      <c r="D103" s="152">
        <f t="shared" ref="D103:D118" si="77">2500*D5</f>
        <v>29064.819199833804</v>
      </c>
      <c r="E103" s="43">
        <f t="shared" ref="E103:E118" si="78">D103/48000</f>
        <v>0.60551706666320426</v>
      </c>
    </row>
    <row r="104" spans="1:5">
      <c r="A104" s="170">
        <v>2021</v>
      </c>
      <c r="B104" s="43">
        <f t="shared" si="75"/>
        <v>172248.58042132191</v>
      </c>
      <c r="C104" s="43">
        <f t="shared" si="76"/>
        <v>3.5885120921108733</v>
      </c>
      <c r="D104" s="152">
        <f t="shared" si="77"/>
        <v>86124.290210660954</v>
      </c>
      <c r="E104" s="43">
        <f t="shared" si="78"/>
        <v>1.7942560460554366</v>
      </c>
    </row>
    <row r="105" spans="1:5">
      <c r="A105" s="170">
        <v>2022</v>
      </c>
      <c r="B105" s="43">
        <f t="shared" si="75"/>
        <v>394223.81583017716</v>
      </c>
      <c r="C105" s="43">
        <f t="shared" si="76"/>
        <v>8.2129961631286914</v>
      </c>
      <c r="D105" s="152">
        <f t="shared" si="77"/>
        <v>197111.90791508858</v>
      </c>
      <c r="E105" s="43">
        <f t="shared" si="78"/>
        <v>4.1064980815643457</v>
      </c>
    </row>
    <row r="106" spans="1:5">
      <c r="A106" s="170">
        <v>2023</v>
      </c>
      <c r="B106" s="43">
        <f t="shared" si="75"/>
        <v>1414878.694507631</v>
      </c>
      <c r="C106" s="43">
        <f t="shared" si="76"/>
        <v>29.476639468908978</v>
      </c>
      <c r="D106" s="152">
        <f t="shared" si="77"/>
        <v>707439.3472538155</v>
      </c>
      <c r="E106" s="43">
        <f t="shared" si="78"/>
        <v>14.738319734454489</v>
      </c>
    </row>
    <row r="107" spans="1:5">
      <c r="A107" s="170">
        <v>2024</v>
      </c>
      <c r="B107" s="43">
        <f t="shared" si="75"/>
        <v>1414878.694507631</v>
      </c>
      <c r="C107" s="43">
        <f t="shared" si="76"/>
        <v>29.476639468908978</v>
      </c>
      <c r="D107" s="152">
        <f t="shared" si="77"/>
        <v>707439.3472538155</v>
      </c>
      <c r="E107" s="43">
        <f t="shared" si="78"/>
        <v>14.738319734454489</v>
      </c>
    </row>
    <row r="108" spans="1:5">
      <c r="A108" s="170">
        <v>2025</v>
      </c>
      <c r="B108" s="43">
        <f t="shared" si="75"/>
        <v>2613700.3012520224</v>
      </c>
      <c r="C108" s="43">
        <f t="shared" si="76"/>
        <v>54.452089609417136</v>
      </c>
      <c r="D108" s="152">
        <f t="shared" si="77"/>
        <v>1306850.1506260112</v>
      </c>
      <c r="E108" s="43">
        <f t="shared" si="78"/>
        <v>27.226044804708568</v>
      </c>
    </row>
    <row r="109" spans="1:5">
      <c r="A109" s="170">
        <v>2026</v>
      </c>
      <c r="B109" s="43">
        <f t="shared" si="75"/>
        <v>2613700.3012520224</v>
      </c>
      <c r="C109" s="43">
        <f t="shared" si="76"/>
        <v>54.452089609417136</v>
      </c>
      <c r="D109" s="152">
        <f t="shared" si="77"/>
        <v>1306850.1506260112</v>
      </c>
      <c r="E109" s="43">
        <f t="shared" si="78"/>
        <v>27.226044804708568</v>
      </c>
    </row>
    <row r="110" spans="1:5">
      <c r="A110" s="170">
        <v>2027</v>
      </c>
      <c r="B110" s="43">
        <f t="shared" si="75"/>
        <v>2613700.3012520224</v>
      </c>
      <c r="C110" s="43">
        <f t="shared" si="76"/>
        <v>54.452089609417136</v>
      </c>
      <c r="D110" s="152">
        <f t="shared" si="77"/>
        <v>1306850.1506260112</v>
      </c>
      <c r="E110" s="43">
        <f t="shared" si="78"/>
        <v>27.226044804708568</v>
      </c>
    </row>
    <row r="111" spans="1:5">
      <c r="A111" s="170">
        <v>2028</v>
      </c>
      <c r="B111" s="43">
        <f t="shared" si="75"/>
        <v>3011045.9507984244</v>
      </c>
      <c r="C111" s="43">
        <f t="shared" si="76"/>
        <v>62.730123974967178</v>
      </c>
      <c r="D111" s="152">
        <f t="shared" si="77"/>
        <v>1505522.9753992122</v>
      </c>
      <c r="E111" s="43">
        <f t="shared" si="78"/>
        <v>31.365061987483589</v>
      </c>
    </row>
    <row r="112" spans="1:5">
      <c r="A112" s="170">
        <v>2029</v>
      </c>
      <c r="B112" s="43">
        <f t="shared" si="75"/>
        <v>3661264.3173774621</v>
      </c>
      <c r="C112" s="43">
        <f t="shared" si="76"/>
        <v>76.276339945363787</v>
      </c>
      <c r="D112" s="152">
        <f t="shared" si="77"/>
        <v>1830632.158688731</v>
      </c>
      <c r="E112" s="43">
        <f t="shared" si="78"/>
        <v>38.138169972681894</v>
      </c>
    </row>
    <row r="113" spans="1:5">
      <c r="A113" s="170">
        <v>2030</v>
      </c>
      <c r="B113" s="43">
        <f t="shared" si="75"/>
        <v>4461427.7611605506</v>
      </c>
      <c r="C113" s="43">
        <f t="shared" si="76"/>
        <v>92.946411690844812</v>
      </c>
      <c r="D113" s="152">
        <f t="shared" si="77"/>
        <v>2230713.8805802753</v>
      </c>
      <c r="E113" s="43">
        <f t="shared" si="78"/>
        <v>46.473205845422406</v>
      </c>
    </row>
    <row r="114" spans="1:5">
      <c r="A114" s="170">
        <v>2031</v>
      </c>
      <c r="B114" s="43">
        <f t="shared" si="75"/>
        <v>4461427.7611605506</v>
      </c>
      <c r="C114" s="43">
        <f t="shared" si="76"/>
        <v>92.946411690844812</v>
      </c>
      <c r="D114" s="152">
        <f t="shared" si="77"/>
        <v>2230713.8805802753</v>
      </c>
      <c r="E114" s="43">
        <f t="shared" si="78"/>
        <v>46.473205845422406</v>
      </c>
    </row>
    <row r="115" spans="1:5">
      <c r="A115" s="170">
        <v>2059</v>
      </c>
      <c r="B115" s="43">
        <f t="shared" si="75"/>
        <v>4461427.7749688905</v>
      </c>
      <c r="C115" s="43">
        <f t="shared" si="76"/>
        <v>92.946411978518555</v>
      </c>
      <c r="D115" s="152">
        <f t="shared" si="77"/>
        <v>2230713.8874844452</v>
      </c>
      <c r="E115" s="43">
        <f t="shared" si="78"/>
        <v>46.473205989259277</v>
      </c>
    </row>
    <row r="116" spans="1:5">
      <c r="A116" s="170">
        <v>2060</v>
      </c>
      <c r="B116" s="43">
        <f t="shared" si="75"/>
        <v>3869699.7882248973</v>
      </c>
      <c r="C116" s="43">
        <f t="shared" si="76"/>
        <v>80.618745588018697</v>
      </c>
      <c r="D116" s="152">
        <f t="shared" si="77"/>
        <v>1934849.8941124487</v>
      </c>
      <c r="E116" s="43">
        <f t="shared" si="78"/>
        <v>40.309372794009349</v>
      </c>
    </row>
    <row r="117" spans="1:5">
      <c r="A117" s="170">
        <v>2069</v>
      </c>
      <c r="B117" s="43">
        <f t="shared" si="75"/>
        <v>3869699.7882248973</v>
      </c>
      <c r="C117" s="43">
        <f t="shared" si="76"/>
        <v>80.618745588018697</v>
      </c>
      <c r="D117" s="152">
        <f t="shared" si="77"/>
        <v>1934849.8941124487</v>
      </c>
      <c r="E117" s="43">
        <f t="shared" si="78"/>
        <v>40.309372794009349</v>
      </c>
    </row>
    <row r="118" spans="1:5">
      <c r="A118" s="170">
        <v>2070</v>
      </c>
      <c r="B118" s="43">
        <f t="shared" si="75"/>
        <v>103776.09662421671</v>
      </c>
      <c r="C118" s="43">
        <f t="shared" si="76"/>
        <v>2.1620020130045146</v>
      </c>
      <c r="D118" s="152">
        <f t="shared" si="77"/>
        <v>51888.048312108353</v>
      </c>
      <c r="E118" s="43">
        <f t="shared" si="78"/>
        <v>1.0810010065022573</v>
      </c>
    </row>
  </sheetData>
  <mergeCells count="13">
    <mergeCell ref="S2:Y2"/>
    <mergeCell ref="B81:F81"/>
    <mergeCell ref="H81:L81"/>
    <mergeCell ref="N81:R81"/>
    <mergeCell ref="A64:F64"/>
    <mergeCell ref="H64:L64"/>
    <mergeCell ref="N64:R64"/>
    <mergeCell ref="A61:R62"/>
    <mergeCell ref="K2:Q2"/>
    <mergeCell ref="A2:E2"/>
    <mergeCell ref="A23:E23"/>
    <mergeCell ref="A43:E43"/>
    <mergeCell ref="F2:I2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workbookViewId="0">
      <selection activeCell="M23" sqref="M23"/>
    </sheetView>
  </sheetViews>
  <sheetFormatPr defaultRowHeight="15"/>
  <cols>
    <col min="1" max="6" width="9.140625" style="14"/>
    <col min="7" max="7" width="15.7109375" style="14" bestFit="1" customWidth="1"/>
    <col min="8" max="12" width="9.140625" style="14"/>
    <col min="13" max="13" width="15.7109375" style="14" bestFit="1" customWidth="1"/>
    <col min="14" max="39" width="9.140625" style="14"/>
  </cols>
  <sheetData>
    <row r="1" spans="1:13">
      <c r="A1" s="265" t="s">
        <v>25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</row>
    <row r="15" spans="1:13">
      <c r="A15" s="237" t="s">
        <v>101</v>
      </c>
      <c r="B15" s="237"/>
      <c r="C15" s="237"/>
      <c r="D15" s="237"/>
      <c r="E15" s="237"/>
      <c r="F15" s="237"/>
      <c r="G15" s="20">
        <v>554000000</v>
      </c>
    </row>
    <row r="16" spans="1:13">
      <c r="F16" s="14" t="s">
        <v>102</v>
      </c>
      <c r="G16" s="20">
        <f>G15/97</f>
        <v>5711340.2061855672</v>
      </c>
    </row>
    <row r="20" spans="13:13">
      <c r="M20" s="185">
        <f>6600000000/2000</f>
        <v>3300000</v>
      </c>
    </row>
    <row r="21" spans="13:13">
      <c r="M21" s="20">
        <f>M20*0.02</f>
        <v>66000</v>
      </c>
    </row>
  </sheetData>
  <mergeCells count="2">
    <mergeCell ref="A1:M1"/>
    <mergeCell ref="A15:F1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/>
  <cols>
    <col min="1" max="1" width="27.42578125" customWidth="1"/>
  </cols>
  <sheetData>
    <row r="1" spans="1:1">
      <c r="A1" t="s">
        <v>371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96"/>
  <sheetViews>
    <sheetView topLeftCell="H1" zoomScale="70" zoomScaleNormal="70" workbookViewId="0">
      <selection activeCell="N33" sqref="N33"/>
    </sheetView>
  </sheetViews>
  <sheetFormatPr defaultRowHeight="15"/>
  <cols>
    <col min="1" max="1" width="26.42578125" style="171" bestFit="1" customWidth="1"/>
    <col min="2" max="4" width="13.85546875" style="171" bestFit="1" customWidth="1"/>
    <col min="5" max="5" width="22" style="171" bestFit="1" customWidth="1"/>
    <col min="6" max="6" width="14.7109375" style="171" customWidth="1"/>
    <col min="7" max="7" width="13.85546875" style="171" bestFit="1" customWidth="1"/>
    <col min="8" max="8" width="14.85546875" style="171" bestFit="1" customWidth="1"/>
    <col min="9" max="9" width="11.5703125" style="171" bestFit="1" customWidth="1"/>
    <col min="10" max="10" width="9.140625" style="171"/>
    <col min="11" max="11" width="13.140625" style="171" bestFit="1" customWidth="1"/>
    <col min="12" max="12" width="12.85546875" style="171" bestFit="1" customWidth="1"/>
    <col min="13" max="13" width="9.85546875" style="171" bestFit="1" customWidth="1"/>
    <col min="14" max="14" width="9.42578125" style="171" bestFit="1" customWidth="1"/>
    <col min="15" max="29" width="9.140625" style="171"/>
  </cols>
  <sheetData>
    <row r="1" spans="1:31" ht="36" customHeight="1">
      <c r="B1" s="237" t="s">
        <v>350</v>
      </c>
      <c r="C1" s="237"/>
      <c r="D1" s="237" t="s">
        <v>375</v>
      </c>
      <c r="E1" s="237"/>
      <c r="F1" s="237" t="s">
        <v>374</v>
      </c>
      <c r="G1" s="237"/>
      <c r="M1" s="171" t="s">
        <v>224</v>
      </c>
      <c r="N1" s="171" t="s">
        <v>221</v>
      </c>
      <c r="AD1" s="171"/>
      <c r="AE1" s="171"/>
    </row>
    <row r="2" spans="1:31" ht="30">
      <c r="B2" s="171" t="s">
        <v>346</v>
      </c>
      <c r="C2" s="171" t="s">
        <v>347</v>
      </c>
      <c r="D2" s="186" t="s">
        <v>346</v>
      </c>
      <c r="E2" s="186" t="s">
        <v>347</v>
      </c>
      <c r="F2" s="171" t="s">
        <v>346</v>
      </c>
      <c r="G2" s="171" t="s">
        <v>347</v>
      </c>
      <c r="I2" s="237" t="s">
        <v>352</v>
      </c>
      <c r="J2" s="237"/>
      <c r="K2" s="237"/>
      <c r="L2" s="237"/>
      <c r="M2" s="237"/>
      <c r="AD2" s="171"/>
      <c r="AE2" s="171"/>
    </row>
    <row r="3" spans="1:31">
      <c r="A3" s="171" t="s">
        <v>348</v>
      </c>
      <c r="B3" s="172">
        <f>875+17</f>
        <v>892</v>
      </c>
      <c r="C3" s="172">
        <f>875+70+17</f>
        <v>962</v>
      </c>
      <c r="D3" s="187">
        <f>635+17</f>
        <v>652</v>
      </c>
      <c r="E3" s="187">
        <f>635+49+17</f>
        <v>701</v>
      </c>
      <c r="F3" s="172">
        <f>592+17</f>
        <v>609</v>
      </c>
      <c r="G3" s="172">
        <f>592+48+17</f>
        <v>657</v>
      </c>
      <c r="I3" s="171">
        <v>2019</v>
      </c>
      <c r="J3" s="43">
        <v>9.89</v>
      </c>
      <c r="L3" s="43">
        <f>12.42</f>
        <v>12.42</v>
      </c>
      <c r="AD3" s="171"/>
      <c r="AE3" s="171"/>
    </row>
    <row r="4" spans="1:31">
      <c r="A4" s="171" t="s">
        <v>349</v>
      </c>
      <c r="B4" s="172">
        <f>1323+22</f>
        <v>1345</v>
      </c>
      <c r="C4" s="172">
        <f>1323+89+22</f>
        <v>1434</v>
      </c>
      <c r="D4" s="187">
        <f>950+22</f>
        <v>972</v>
      </c>
      <c r="E4" s="187">
        <f>950+68+22</f>
        <v>1040</v>
      </c>
      <c r="F4" s="172">
        <f>885+22</f>
        <v>907</v>
      </c>
      <c r="G4" s="172">
        <f>885+66+22</f>
        <v>973</v>
      </c>
      <c r="I4" s="171">
        <v>2020</v>
      </c>
      <c r="J4" s="43">
        <v>15.32</v>
      </c>
      <c r="K4" s="43">
        <v>15.32</v>
      </c>
      <c r="L4" s="43">
        <f>22.5</f>
        <v>22.5</v>
      </c>
      <c r="M4" s="43">
        <f>(K4*5000)/48000</f>
        <v>1.5958333333333334</v>
      </c>
      <c r="N4" s="43">
        <f>(K4*1000)/48000</f>
        <v>0.31916666666666665</v>
      </c>
      <c r="AD4" s="171"/>
      <c r="AE4" s="171"/>
    </row>
    <row r="5" spans="1:31">
      <c r="D5" s="186"/>
      <c r="E5" s="186"/>
      <c r="I5" s="171">
        <v>2021</v>
      </c>
      <c r="J5" s="43">
        <v>20.88</v>
      </c>
      <c r="K5" s="43">
        <v>20.88</v>
      </c>
      <c r="L5" s="43">
        <f>30.73</f>
        <v>30.73</v>
      </c>
      <c r="M5" s="43">
        <f t="shared" ref="M5:M6" si="0">(K5*5000)/48000</f>
        <v>2.1749999999999998</v>
      </c>
      <c r="N5" s="43">
        <f t="shared" ref="N5:N6" si="1">(K5*1000)/48000</f>
        <v>0.435</v>
      </c>
      <c r="AD5" s="171"/>
      <c r="AE5" s="171"/>
    </row>
    <row r="6" spans="1:31">
      <c r="A6" s="171" t="s">
        <v>351</v>
      </c>
      <c r="B6" s="172">
        <f>1045</f>
        <v>1045</v>
      </c>
      <c r="D6" s="186"/>
      <c r="E6" s="186">
        <f>(1000*E4)/48000</f>
        <v>21.666666666666668</v>
      </c>
      <c r="G6" s="171">
        <f>(1000*G4)/48000</f>
        <v>20.270833333333332</v>
      </c>
      <c r="H6" s="184">
        <f>(5000*G4)/48000</f>
        <v>101.35416666666667</v>
      </c>
      <c r="I6" s="171">
        <v>2022</v>
      </c>
      <c r="J6" s="43">
        <v>11.11</v>
      </c>
      <c r="K6" s="43">
        <f>5.56*2022-11216</f>
        <v>26.319999999999709</v>
      </c>
      <c r="L6" s="43">
        <f>20.86</f>
        <v>20.86</v>
      </c>
      <c r="M6" s="43">
        <f t="shared" si="0"/>
        <v>2.7416666666666365</v>
      </c>
      <c r="N6" s="43">
        <f t="shared" si="1"/>
        <v>0.54833333333332723</v>
      </c>
      <c r="AD6" s="171"/>
      <c r="AE6" s="171"/>
    </row>
    <row r="7" spans="1:31" ht="15.75" thickBot="1">
      <c r="D7" s="186"/>
      <c r="E7" s="186"/>
      <c r="AD7" s="171"/>
      <c r="AE7" s="171"/>
    </row>
    <row r="8" spans="1:31" ht="18.75">
      <c r="A8" s="271" t="s">
        <v>350</v>
      </c>
      <c r="B8" s="272"/>
      <c r="C8" s="272"/>
      <c r="D8" s="272"/>
      <c r="E8" s="272"/>
      <c r="F8" s="272"/>
      <c r="G8" s="272"/>
      <c r="H8" s="273"/>
    </row>
    <row r="9" spans="1:31" ht="15" customHeight="1">
      <c r="A9" s="269" t="s">
        <v>356</v>
      </c>
      <c r="B9" s="270"/>
      <c r="C9" s="270"/>
      <c r="D9" s="270"/>
      <c r="E9" s="270"/>
      <c r="F9" s="270"/>
      <c r="G9" s="50"/>
      <c r="H9" s="173"/>
      <c r="K9" s="171" t="s">
        <v>387</v>
      </c>
      <c r="L9" s="171" t="s">
        <v>388</v>
      </c>
    </row>
    <row r="10" spans="1:31" ht="15" customHeight="1">
      <c r="A10" s="174" t="s">
        <v>355</v>
      </c>
      <c r="B10" s="50">
        <v>1000</v>
      </c>
      <c r="C10" s="50">
        <v>2000</v>
      </c>
      <c r="D10" s="50">
        <v>2500</v>
      </c>
      <c r="E10" s="50">
        <v>3000</v>
      </c>
      <c r="F10" s="50">
        <v>4000</v>
      </c>
      <c r="G10" s="50">
        <v>5000</v>
      </c>
      <c r="H10" s="173">
        <v>10000</v>
      </c>
      <c r="K10" s="43">
        <f>K4*4000</f>
        <v>61280</v>
      </c>
      <c r="L10" s="43">
        <f>K10+60000</f>
        <v>121280</v>
      </c>
    </row>
    <row r="11" spans="1:31">
      <c r="A11" s="174">
        <v>2019</v>
      </c>
      <c r="B11" s="175">
        <f>J3*$B$10</f>
        <v>9890</v>
      </c>
      <c r="C11" s="175">
        <f>J3*$C$10</f>
        <v>19780</v>
      </c>
      <c r="D11" s="175">
        <f>J3*$D$10</f>
        <v>24725</v>
      </c>
      <c r="E11" s="175">
        <f>J3*$E$10</f>
        <v>29670</v>
      </c>
      <c r="F11" s="175">
        <f>J3*$F$10</f>
        <v>39560</v>
      </c>
      <c r="G11" s="175">
        <f>J3*$G$10</f>
        <v>49450</v>
      </c>
      <c r="H11" s="176">
        <f>J3*$H$10</f>
        <v>98900</v>
      </c>
      <c r="K11" s="43">
        <f t="shared" ref="K11" si="2">K5*4000</f>
        <v>83520</v>
      </c>
      <c r="L11" s="43">
        <f t="shared" ref="L11:L12" si="3">K11+60000</f>
        <v>143520</v>
      </c>
    </row>
    <row r="12" spans="1:31">
      <c r="A12" s="174">
        <v>2020</v>
      </c>
      <c r="B12" s="175">
        <f>J4*$B$10</f>
        <v>15320</v>
      </c>
      <c r="C12" s="175">
        <f>J4*$C$10</f>
        <v>30640</v>
      </c>
      <c r="D12" s="175">
        <f>J4*$D$10</f>
        <v>38300</v>
      </c>
      <c r="E12" s="175">
        <f>J4*$E$10</f>
        <v>45960</v>
      </c>
      <c r="F12" s="175">
        <f>J4*$F$10</f>
        <v>61280</v>
      </c>
      <c r="G12" s="175">
        <f>J4*$G$10</f>
        <v>76600</v>
      </c>
      <c r="H12" s="176">
        <f>J4*$H$10</f>
        <v>153200</v>
      </c>
      <c r="K12" s="43">
        <f>K6*4000</f>
        <v>105279.99999999884</v>
      </c>
      <c r="L12" s="43">
        <f t="shared" si="3"/>
        <v>165279.99999999884</v>
      </c>
    </row>
    <row r="13" spans="1:31">
      <c r="A13" s="174">
        <v>2021</v>
      </c>
      <c r="B13" s="175">
        <f>J5*$B$10</f>
        <v>20880</v>
      </c>
      <c r="C13" s="175">
        <f>J5*$C$10</f>
        <v>41760</v>
      </c>
      <c r="D13" s="175">
        <f>J5*$D$10</f>
        <v>52200</v>
      </c>
      <c r="E13" s="175">
        <f>J5*$E$10</f>
        <v>62640</v>
      </c>
      <c r="F13" s="175">
        <f>J5*$F$10</f>
        <v>83520</v>
      </c>
      <c r="G13" s="175">
        <f>J5*$G$10</f>
        <v>104400</v>
      </c>
      <c r="H13" s="176">
        <f>J5*$H$10</f>
        <v>208800</v>
      </c>
    </row>
    <row r="14" spans="1:31">
      <c r="A14" s="174">
        <v>2022</v>
      </c>
      <c r="B14" s="175">
        <f>J6*$B$10</f>
        <v>11110</v>
      </c>
      <c r="C14" s="175">
        <f>J6*$C$10</f>
        <v>22220</v>
      </c>
      <c r="D14" s="175">
        <f>J6*$D$10</f>
        <v>27775</v>
      </c>
      <c r="E14" s="175">
        <f>J6*$E$10</f>
        <v>33330</v>
      </c>
      <c r="F14" s="175">
        <f>J6*$F$10</f>
        <v>44440</v>
      </c>
      <c r="G14" s="175">
        <f>J6*$G$10</f>
        <v>55550</v>
      </c>
      <c r="H14" s="176">
        <f>J6*$H$10</f>
        <v>111100</v>
      </c>
    </row>
    <row r="15" spans="1:31">
      <c r="A15" s="174" t="s">
        <v>357</v>
      </c>
      <c r="B15" s="177">
        <f>$B$6*B10</f>
        <v>1045000</v>
      </c>
      <c r="C15" s="177">
        <f t="shared" ref="C15:H15" si="4">$B$6*C10</f>
        <v>2090000</v>
      </c>
      <c r="D15" s="177">
        <f t="shared" si="4"/>
        <v>2612500</v>
      </c>
      <c r="E15" s="177">
        <f t="shared" si="4"/>
        <v>3135000</v>
      </c>
      <c r="F15" s="177">
        <f t="shared" si="4"/>
        <v>4180000</v>
      </c>
      <c r="G15" s="177">
        <f t="shared" si="4"/>
        <v>5225000</v>
      </c>
      <c r="H15" s="178">
        <f t="shared" si="4"/>
        <v>10450000</v>
      </c>
    </row>
    <row r="16" spans="1:31">
      <c r="A16" s="174" t="s">
        <v>353</v>
      </c>
      <c r="B16" s="177">
        <f>B10*$B$3</f>
        <v>892000</v>
      </c>
      <c r="C16" s="177">
        <f t="shared" ref="C16:H16" si="5">C10*$B$3</f>
        <v>1784000</v>
      </c>
      <c r="D16" s="177">
        <f t="shared" si="5"/>
        <v>2230000</v>
      </c>
      <c r="E16" s="177">
        <f t="shared" si="5"/>
        <v>2676000</v>
      </c>
      <c r="F16" s="177">
        <f t="shared" si="5"/>
        <v>3568000</v>
      </c>
      <c r="G16" s="177">
        <f t="shared" si="5"/>
        <v>4460000</v>
      </c>
      <c r="H16" s="178">
        <f t="shared" si="5"/>
        <v>8920000</v>
      </c>
    </row>
    <row r="17" spans="1:8">
      <c r="A17" s="174" t="s">
        <v>354</v>
      </c>
      <c r="B17" s="177">
        <f>B10*$B$4</f>
        <v>1345000</v>
      </c>
      <c r="C17" s="177">
        <f t="shared" ref="C17:H17" si="6">C10*$B$4</f>
        <v>2690000</v>
      </c>
      <c r="D17" s="177">
        <f t="shared" si="6"/>
        <v>3362500</v>
      </c>
      <c r="E17" s="177">
        <f t="shared" si="6"/>
        <v>4035000</v>
      </c>
      <c r="F17" s="177">
        <f t="shared" si="6"/>
        <v>5380000</v>
      </c>
      <c r="G17" s="177">
        <f t="shared" si="6"/>
        <v>6725000</v>
      </c>
      <c r="H17" s="178">
        <f t="shared" si="6"/>
        <v>13450000</v>
      </c>
    </row>
    <row r="18" spans="1:8">
      <c r="A18" s="174"/>
      <c r="B18" s="50"/>
      <c r="C18" s="50"/>
      <c r="D18" s="50"/>
      <c r="E18" s="50"/>
      <c r="F18" s="50"/>
      <c r="G18" s="50"/>
      <c r="H18" s="173"/>
    </row>
    <row r="19" spans="1:8">
      <c r="A19" s="269" t="s">
        <v>358</v>
      </c>
      <c r="B19" s="270"/>
      <c r="C19" s="270"/>
      <c r="D19" s="270"/>
      <c r="E19" s="270"/>
      <c r="F19" s="270"/>
      <c r="G19" s="50"/>
      <c r="H19" s="173"/>
    </row>
    <row r="20" spans="1:8">
      <c r="A20" s="174" t="s">
        <v>355</v>
      </c>
      <c r="B20" s="50">
        <v>1000</v>
      </c>
      <c r="C20" s="50">
        <v>2000</v>
      </c>
      <c r="D20" s="50">
        <v>2500</v>
      </c>
      <c r="E20" s="50">
        <v>3000</v>
      </c>
      <c r="F20" s="50">
        <v>4000</v>
      </c>
      <c r="G20" s="50">
        <v>5000</v>
      </c>
      <c r="H20" s="173">
        <v>10000</v>
      </c>
    </row>
    <row r="21" spans="1:8">
      <c r="A21" s="174">
        <v>2019</v>
      </c>
      <c r="B21" s="175">
        <v>9890</v>
      </c>
      <c r="C21" s="175">
        <v>19780</v>
      </c>
      <c r="D21" s="175">
        <v>24725</v>
      </c>
      <c r="E21" s="175">
        <v>29670</v>
      </c>
      <c r="F21" s="175">
        <v>39560</v>
      </c>
      <c r="G21" s="175">
        <v>49450</v>
      </c>
      <c r="H21" s="176">
        <v>98900</v>
      </c>
    </row>
    <row r="22" spans="1:8">
      <c r="A22" s="174">
        <v>2020</v>
      </c>
      <c r="B22" s="175">
        <v>15320</v>
      </c>
      <c r="C22" s="175">
        <v>30640</v>
      </c>
      <c r="D22" s="175">
        <v>38300</v>
      </c>
      <c r="E22" s="175">
        <v>45960</v>
      </c>
      <c r="F22" s="175">
        <v>61280</v>
      </c>
      <c r="G22" s="175">
        <v>76600</v>
      </c>
      <c r="H22" s="176">
        <v>153200</v>
      </c>
    </row>
    <row r="23" spans="1:8">
      <c r="A23" s="174">
        <v>2021</v>
      </c>
      <c r="B23" s="175">
        <v>20880</v>
      </c>
      <c r="C23" s="175">
        <v>41760</v>
      </c>
      <c r="D23" s="175">
        <v>52200</v>
      </c>
      <c r="E23" s="175">
        <v>62640</v>
      </c>
      <c r="F23" s="175">
        <v>83520</v>
      </c>
      <c r="G23" s="175">
        <v>104400</v>
      </c>
      <c r="H23" s="176">
        <v>208800</v>
      </c>
    </row>
    <row r="24" spans="1:8">
      <c r="A24" s="174">
        <v>2022</v>
      </c>
      <c r="B24" s="175">
        <v>11110</v>
      </c>
      <c r="C24" s="175">
        <v>22220</v>
      </c>
      <c r="D24" s="175">
        <v>27775</v>
      </c>
      <c r="E24" s="175">
        <v>33330</v>
      </c>
      <c r="F24" s="175">
        <v>44440</v>
      </c>
      <c r="G24" s="175">
        <v>55550</v>
      </c>
      <c r="H24" s="176">
        <v>111100</v>
      </c>
    </row>
    <row r="25" spans="1:8">
      <c r="A25" s="174" t="s">
        <v>357</v>
      </c>
      <c r="B25" s="177">
        <v>1045000</v>
      </c>
      <c r="C25" s="177">
        <v>2090000</v>
      </c>
      <c r="D25" s="177">
        <v>2612500</v>
      </c>
      <c r="E25" s="177">
        <v>3135000</v>
      </c>
      <c r="F25" s="177">
        <v>4180000</v>
      </c>
      <c r="G25" s="177">
        <v>5225000</v>
      </c>
      <c r="H25" s="178">
        <v>10450000</v>
      </c>
    </row>
    <row r="26" spans="1:8">
      <c r="A26" s="174" t="s">
        <v>353</v>
      </c>
      <c r="B26" s="177">
        <f>B20*$C$3</f>
        <v>962000</v>
      </c>
      <c r="C26" s="177">
        <f t="shared" ref="C26:H26" si="7">C20*$C$3</f>
        <v>1924000</v>
      </c>
      <c r="D26" s="177">
        <f t="shared" si="7"/>
        <v>2405000</v>
      </c>
      <c r="E26" s="177">
        <f t="shared" si="7"/>
        <v>2886000</v>
      </c>
      <c r="F26" s="177">
        <f t="shared" si="7"/>
        <v>3848000</v>
      </c>
      <c r="G26" s="177">
        <f t="shared" si="7"/>
        <v>4810000</v>
      </c>
      <c r="H26" s="178">
        <f t="shared" si="7"/>
        <v>9620000</v>
      </c>
    </row>
    <row r="27" spans="1:8">
      <c r="A27" s="174" t="s">
        <v>354</v>
      </c>
      <c r="B27" s="177">
        <f>B20*$C$4</f>
        <v>1434000</v>
      </c>
      <c r="C27" s="177">
        <f t="shared" ref="C27:H27" si="8">C20*$C$4</f>
        <v>2868000</v>
      </c>
      <c r="D27" s="177">
        <f t="shared" si="8"/>
        <v>3585000</v>
      </c>
      <c r="E27" s="177">
        <f t="shared" si="8"/>
        <v>4302000</v>
      </c>
      <c r="F27" s="177">
        <f t="shared" si="8"/>
        <v>5736000</v>
      </c>
      <c r="G27" s="177">
        <f t="shared" si="8"/>
        <v>7170000</v>
      </c>
      <c r="H27" s="178">
        <f t="shared" si="8"/>
        <v>14340000</v>
      </c>
    </row>
    <row r="28" spans="1:8">
      <c r="A28" s="174"/>
      <c r="B28" s="50"/>
      <c r="C28" s="50"/>
      <c r="D28" s="50"/>
      <c r="E28" s="50"/>
      <c r="F28" s="50"/>
      <c r="G28" s="50"/>
      <c r="H28" s="173"/>
    </row>
    <row r="29" spans="1:8">
      <c r="A29" s="174"/>
      <c r="B29" s="50"/>
      <c r="C29" s="50"/>
      <c r="D29" s="50"/>
      <c r="E29" s="50"/>
      <c r="F29" s="50"/>
      <c r="G29" s="50"/>
      <c r="H29" s="173"/>
    </row>
    <row r="30" spans="1:8">
      <c r="A30" s="174" t="s">
        <v>359</v>
      </c>
      <c r="B30" s="50">
        <v>1000</v>
      </c>
      <c r="C30" s="50">
        <v>2000</v>
      </c>
      <c r="D30" s="50">
        <v>2500</v>
      </c>
      <c r="E30" s="50">
        <v>3000</v>
      </c>
      <c r="F30" s="50">
        <v>4000</v>
      </c>
      <c r="G30" s="50">
        <v>5000</v>
      </c>
      <c r="H30" s="173"/>
    </row>
    <row r="31" spans="1:8">
      <c r="A31" s="174" t="s">
        <v>360</v>
      </c>
      <c r="B31" s="175">
        <f>B26/48000</f>
        <v>20.041666666666668</v>
      </c>
      <c r="C31" s="175">
        <f t="shared" ref="C31:G31" si="9">C26/48000</f>
        <v>40.083333333333336</v>
      </c>
      <c r="D31" s="175">
        <f t="shared" si="9"/>
        <v>50.104166666666664</v>
      </c>
      <c r="E31" s="175">
        <f t="shared" si="9"/>
        <v>60.125</v>
      </c>
      <c r="F31" s="175">
        <f t="shared" si="9"/>
        <v>80.166666666666671</v>
      </c>
      <c r="G31" s="175">
        <f t="shared" si="9"/>
        <v>100.20833333333333</v>
      </c>
      <c r="H31" s="173"/>
    </row>
    <row r="32" spans="1:8">
      <c r="A32" s="174" t="s">
        <v>361</v>
      </c>
      <c r="B32" s="175">
        <f>B27/48000</f>
        <v>29.875</v>
      </c>
      <c r="C32" s="175">
        <f t="shared" ref="C32:G32" si="10">C27/48000</f>
        <v>59.75</v>
      </c>
      <c r="D32" s="175">
        <f t="shared" si="10"/>
        <v>74.6875</v>
      </c>
      <c r="E32" s="175">
        <f t="shared" si="10"/>
        <v>89.625</v>
      </c>
      <c r="F32" s="175">
        <f t="shared" si="10"/>
        <v>119.5</v>
      </c>
      <c r="G32" s="175">
        <f t="shared" si="10"/>
        <v>149.375</v>
      </c>
      <c r="H32" s="173"/>
    </row>
    <row r="33" spans="1:8">
      <c r="A33" s="174" t="s">
        <v>362</v>
      </c>
      <c r="B33" s="175">
        <f>B16/48000</f>
        <v>18.583333333333332</v>
      </c>
      <c r="C33" s="175">
        <f t="shared" ref="C33:G33" si="11">C16/48000</f>
        <v>37.166666666666664</v>
      </c>
      <c r="D33" s="175">
        <f t="shared" si="11"/>
        <v>46.458333333333336</v>
      </c>
      <c r="E33" s="175">
        <f t="shared" si="11"/>
        <v>55.75</v>
      </c>
      <c r="F33" s="175">
        <f t="shared" si="11"/>
        <v>74.333333333333329</v>
      </c>
      <c r="G33" s="175">
        <f t="shared" si="11"/>
        <v>92.916666666666671</v>
      </c>
      <c r="H33" s="173"/>
    </row>
    <row r="34" spans="1:8" ht="15.75" thickBot="1">
      <c r="A34" s="179" t="s">
        <v>363</v>
      </c>
      <c r="B34" s="180">
        <f>B17/48000</f>
        <v>28.020833333333332</v>
      </c>
      <c r="C34" s="180">
        <f t="shared" ref="C34:G34" si="12">C17/48000</f>
        <v>56.041666666666664</v>
      </c>
      <c r="D34" s="180">
        <f t="shared" si="12"/>
        <v>70.052083333333329</v>
      </c>
      <c r="E34" s="180">
        <f t="shared" si="12"/>
        <v>84.0625</v>
      </c>
      <c r="F34" s="180">
        <f t="shared" si="12"/>
        <v>112.08333333333333</v>
      </c>
      <c r="G34" s="180">
        <f t="shared" si="12"/>
        <v>140.10416666666666</v>
      </c>
      <c r="H34" s="181"/>
    </row>
    <row r="37" spans="1:8">
      <c r="A37" s="237" t="s">
        <v>364</v>
      </c>
      <c r="B37" s="237"/>
      <c r="C37" s="237"/>
      <c r="D37" s="237"/>
      <c r="E37" s="237"/>
      <c r="F37" s="237"/>
      <c r="G37" s="237"/>
    </row>
    <row r="38" spans="1:8">
      <c r="A38" s="171" t="s">
        <v>365</v>
      </c>
      <c r="B38" s="171">
        <v>1000</v>
      </c>
      <c r="C38" s="171">
        <v>2000</v>
      </c>
      <c r="D38" s="171">
        <v>2500</v>
      </c>
      <c r="E38" s="171">
        <v>3000</v>
      </c>
      <c r="F38" s="171">
        <v>4000</v>
      </c>
      <c r="G38" s="171">
        <v>5000</v>
      </c>
    </row>
    <row r="39" spans="1:8" ht="30">
      <c r="A39" s="171" t="s">
        <v>372</v>
      </c>
      <c r="B39" s="43">
        <f>(B38*1045)/48000</f>
        <v>21.770833333333332</v>
      </c>
      <c r="C39" s="43">
        <f t="shared" ref="C39:G39" si="13">(C38*1045)/48000</f>
        <v>43.541666666666664</v>
      </c>
      <c r="D39" s="43">
        <f t="shared" si="13"/>
        <v>54.427083333333336</v>
      </c>
      <c r="E39" s="43">
        <f t="shared" si="13"/>
        <v>65.3125</v>
      </c>
      <c r="F39" s="43">
        <f t="shared" si="13"/>
        <v>87.083333333333329</v>
      </c>
      <c r="G39" s="43">
        <f t="shared" si="13"/>
        <v>108.85416666666667</v>
      </c>
    </row>
    <row r="40" spans="1:8" ht="30">
      <c r="A40" s="171" t="s">
        <v>373</v>
      </c>
      <c r="B40" s="43">
        <f>(B38*1522)/48000</f>
        <v>31.708333333333332</v>
      </c>
      <c r="C40" s="43">
        <f t="shared" ref="C40:G40" si="14">(C38*1522)/48000</f>
        <v>63.416666666666664</v>
      </c>
      <c r="D40" s="43">
        <f t="shared" si="14"/>
        <v>79.270833333333329</v>
      </c>
      <c r="E40" s="43">
        <f t="shared" si="14"/>
        <v>95.125</v>
      </c>
      <c r="F40" s="43">
        <f t="shared" si="14"/>
        <v>126.83333333333333</v>
      </c>
      <c r="G40" s="43">
        <f t="shared" si="14"/>
        <v>158.54166666666666</v>
      </c>
    </row>
    <row r="41" spans="1:8" ht="15.75" thickBot="1"/>
    <row r="42" spans="1:8" ht="18.75">
      <c r="A42" s="271" t="s">
        <v>376</v>
      </c>
      <c r="B42" s="272"/>
      <c r="C42" s="272"/>
      <c r="D42" s="272"/>
      <c r="E42" s="272"/>
      <c r="F42" s="272"/>
      <c r="G42" s="272"/>
      <c r="H42" s="273"/>
    </row>
    <row r="43" spans="1:8" ht="15" customHeight="1">
      <c r="A43" s="269" t="s">
        <v>356</v>
      </c>
      <c r="B43" s="270"/>
      <c r="C43" s="270"/>
      <c r="D43" s="270"/>
      <c r="E43" s="270"/>
      <c r="F43" s="270"/>
      <c r="G43" s="50"/>
      <c r="H43" s="173"/>
    </row>
    <row r="44" spans="1:8">
      <c r="A44" s="174" t="s">
        <v>355</v>
      </c>
      <c r="B44" s="50">
        <v>1000</v>
      </c>
      <c r="C44" s="50">
        <v>2000</v>
      </c>
      <c r="D44" s="50">
        <v>2500</v>
      </c>
      <c r="E44" s="50">
        <v>3000</v>
      </c>
      <c r="F44" s="50">
        <v>4000</v>
      </c>
      <c r="G44" s="50">
        <v>5000</v>
      </c>
      <c r="H44" s="173">
        <v>10000</v>
      </c>
    </row>
    <row r="45" spans="1:8">
      <c r="A45" s="174">
        <v>2019</v>
      </c>
      <c r="B45" s="175">
        <f>J3*$B$44</f>
        <v>9890</v>
      </c>
      <c r="C45" s="175">
        <f>J3*$C$44</f>
        <v>19780</v>
      </c>
      <c r="D45" s="175">
        <f>J3*$D$44</f>
        <v>24725</v>
      </c>
      <c r="E45" s="175">
        <f>J3*$E$44</f>
        <v>29670</v>
      </c>
      <c r="F45" s="175">
        <f>J3*$F$44</f>
        <v>39560</v>
      </c>
      <c r="G45" s="175">
        <f>J3*$G$44</f>
        <v>49450</v>
      </c>
      <c r="H45" s="176">
        <f>J3*$H$44</f>
        <v>98900</v>
      </c>
    </row>
    <row r="46" spans="1:8">
      <c r="A46" s="174">
        <v>2020</v>
      </c>
      <c r="B46" s="175">
        <f>J4*$B$44</f>
        <v>15320</v>
      </c>
      <c r="C46" s="175">
        <f>J4*$C$44</f>
        <v>30640</v>
      </c>
      <c r="D46" s="175">
        <f>J4*$D$44</f>
        <v>38300</v>
      </c>
      <c r="E46" s="175">
        <f>J4*$E$44</f>
        <v>45960</v>
      </c>
      <c r="F46" s="175">
        <f>J4*$F$44</f>
        <v>61280</v>
      </c>
      <c r="G46" s="175">
        <f>J4*$G$44</f>
        <v>76600</v>
      </c>
      <c r="H46" s="176">
        <f>J4*$H$44</f>
        <v>153200</v>
      </c>
    </row>
    <row r="47" spans="1:8">
      <c r="A47" s="174">
        <v>2021</v>
      </c>
      <c r="B47" s="175">
        <f>J5*$B$44</f>
        <v>20880</v>
      </c>
      <c r="C47" s="175">
        <f>J5*$C$44</f>
        <v>41760</v>
      </c>
      <c r="D47" s="175">
        <f>J5*$D$44</f>
        <v>52200</v>
      </c>
      <c r="E47" s="175">
        <f>J5*$E$44</f>
        <v>62640</v>
      </c>
      <c r="F47" s="175">
        <f>J5*$F$44</f>
        <v>83520</v>
      </c>
      <c r="G47" s="175">
        <f>J5*$G$44</f>
        <v>104400</v>
      </c>
      <c r="H47" s="176">
        <f>J5*$H$44</f>
        <v>208800</v>
      </c>
    </row>
    <row r="48" spans="1:8">
      <c r="A48" s="174">
        <v>2022</v>
      </c>
      <c r="B48" s="175">
        <f>J6*$B$44</f>
        <v>11110</v>
      </c>
      <c r="C48" s="175">
        <f>J6*$C$44</f>
        <v>22220</v>
      </c>
      <c r="D48" s="175">
        <f>J6*$D$44</f>
        <v>27775</v>
      </c>
      <c r="E48" s="175">
        <f>J6*$E$44</f>
        <v>33330</v>
      </c>
      <c r="F48" s="175">
        <f>J6*$F$44</f>
        <v>44440</v>
      </c>
      <c r="G48" s="175">
        <f>J6*$G$44</f>
        <v>55550</v>
      </c>
      <c r="H48" s="176">
        <f>J6*$H$44</f>
        <v>111100</v>
      </c>
    </row>
    <row r="49" spans="1:8">
      <c r="A49" s="174" t="s">
        <v>357</v>
      </c>
      <c r="B49" s="177">
        <f>$B$6*B44</f>
        <v>1045000</v>
      </c>
      <c r="C49" s="177">
        <f t="shared" ref="C49:H49" si="15">$B$6*C44</f>
        <v>2090000</v>
      </c>
      <c r="D49" s="177">
        <f t="shared" si="15"/>
        <v>2612500</v>
      </c>
      <c r="E49" s="177">
        <f t="shared" si="15"/>
        <v>3135000</v>
      </c>
      <c r="F49" s="177">
        <f t="shared" si="15"/>
        <v>4180000</v>
      </c>
      <c r="G49" s="177">
        <f t="shared" si="15"/>
        <v>5225000</v>
      </c>
      <c r="H49" s="178">
        <f t="shared" si="15"/>
        <v>10450000</v>
      </c>
    </row>
    <row r="50" spans="1:8">
      <c r="A50" s="174" t="s">
        <v>353</v>
      </c>
      <c r="B50" s="177">
        <f>B44*$F$3</f>
        <v>609000</v>
      </c>
      <c r="C50" s="177">
        <f t="shared" ref="C50:H50" si="16">C44*$F$3</f>
        <v>1218000</v>
      </c>
      <c r="D50" s="177">
        <f t="shared" si="16"/>
        <v>1522500</v>
      </c>
      <c r="E50" s="177">
        <f t="shared" si="16"/>
        <v>1827000</v>
      </c>
      <c r="F50" s="177">
        <f t="shared" si="16"/>
        <v>2436000</v>
      </c>
      <c r="G50" s="177">
        <f t="shared" si="16"/>
        <v>3045000</v>
      </c>
      <c r="H50" s="178">
        <f t="shared" si="16"/>
        <v>6090000</v>
      </c>
    </row>
    <row r="51" spans="1:8">
      <c r="A51" s="174" t="s">
        <v>354</v>
      </c>
      <c r="B51" s="177">
        <f>B44*$F$4</f>
        <v>907000</v>
      </c>
      <c r="C51" s="177">
        <f t="shared" ref="C51:H51" si="17">C44*$F$4</f>
        <v>1814000</v>
      </c>
      <c r="D51" s="177">
        <f t="shared" si="17"/>
        <v>2267500</v>
      </c>
      <c r="E51" s="177">
        <f t="shared" si="17"/>
        <v>2721000</v>
      </c>
      <c r="F51" s="177">
        <f t="shared" si="17"/>
        <v>3628000</v>
      </c>
      <c r="G51" s="177">
        <f t="shared" si="17"/>
        <v>4535000</v>
      </c>
      <c r="H51" s="178">
        <f t="shared" si="17"/>
        <v>9070000</v>
      </c>
    </row>
    <row r="52" spans="1:8">
      <c r="A52" s="174"/>
      <c r="B52" s="50"/>
      <c r="C52" s="50"/>
      <c r="D52" s="50"/>
      <c r="E52" s="50"/>
      <c r="F52" s="50"/>
      <c r="G52" s="50"/>
      <c r="H52" s="173"/>
    </row>
    <row r="53" spans="1:8">
      <c r="A53" s="269" t="s">
        <v>358</v>
      </c>
      <c r="B53" s="270"/>
      <c r="C53" s="270"/>
      <c r="D53" s="270"/>
      <c r="E53" s="270"/>
      <c r="F53" s="270"/>
      <c r="G53" s="50"/>
      <c r="H53" s="173"/>
    </row>
    <row r="54" spans="1:8">
      <c r="A54" s="174" t="s">
        <v>355</v>
      </c>
      <c r="B54" s="50">
        <v>1000</v>
      </c>
      <c r="C54" s="50">
        <v>2000</v>
      </c>
      <c r="D54" s="50">
        <v>2500</v>
      </c>
      <c r="E54" s="50">
        <v>3000</v>
      </c>
      <c r="F54" s="50">
        <v>4000</v>
      </c>
      <c r="G54" s="50">
        <v>5000</v>
      </c>
      <c r="H54" s="173">
        <v>10000</v>
      </c>
    </row>
    <row r="55" spans="1:8">
      <c r="A55" s="174">
        <v>2019</v>
      </c>
      <c r="B55" s="175">
        <v>9890</v>
      </c>
      <c r="C55" s="175">
        <v>19780</v>
      </c>
      <c r="D55" s="175">
        <v>24725</v>
      </c>
      <c r="E55" s="175">
        <v>29670</v>
      </c>
      <c r="F55" s="175">
        <v>39560</v>
      </c>
      <c r="G55" s="175">
        <v>49450</v>
      </c>
      <c r="H55" s="176">
        <v>98900</v>
      </c>
    </row>
    <row r="56" spans="1:8">
      <c r="A56" s="174">
        <v>2020</v>
      </c>
      <c r="B56" s="175">
        <v>15320</v>
      </c>
      <c r="C56" s="175">
        <v>30640</v>
      </c>
      <c r="D56" s="175">
        <v>38300</v>
      </c>
      <c r="E56" s="175">
        <v>45960</v>
      </c>
      <c r="F56" s="175">
        <v>61280</v>
      </c>
      <c r="G56" s="175">
        <v>76600</v>
      </c>
      <c r="H56" s="176">
        <v>153200</v>
      </c>
    </row>
    <row r="57" spans="1:8">
      <c r="A57" s="174">
        <v>2021</v>
      </c>
      <c r="B57" s="175">
        <v>20880</v>
      </c>
      <c r="C57" s="175">
        <v>41760</v>
      </c>
      <c r="D57" s="175">
        <v>52200</v>
      </c>
      <c r="E57" s="175">
        <v>62640</v>
      </c>
      <c r="F57" s="175">
        <v>83520</v>
      </c>
      <c r="G57" s="175">
        <v>104400</v>
      </c>
      <c r="H57" s="176">
        <v>208800</v>
      </c>
    </row>
    <row r="58" spans="1:8">
      <c r="A58" s="174">
        <v>2022</v>
      </c>
      <c r="B58" s="175">
        <v>11110</v>
      </c>
      <c r="C58" s="175">
        <v>22220</v>
      </c>
      <c r="D58" s="175">
        <v>27775</v>
      </c>
      <c r="E58" s="175">
        <v>33330</v>
      </c>
      <c r="F58" s="175">
        <v>44440</v>
      </c>
      <c r="G58" s="175">
        <v>55550</v>
      </c>
      <c r="H58" s="176">
        <v>111100</v>
      </c>
    </row>
    <row r="59" spans="1:8">
      <c r="A59" s="174" t="s">
        <v>357</v>
      </c>
      <c r="B59" s="177">
        <v>1045000</v>
      </c>
      <c r="C59" s="177">
        <v>2090000</v>
      </c>
      <c r="D59" s="177">
        <v>2612500</v>
      </c>
      <c r="E59" s="177">
        <v>3135000</v>
      </c>
      <c r="F59" s="177">
        <v>4180000</v>
      </c>
      <c r="G59" s="177">
        <v>5225000</v>
      </c>
      <c r="H59" s="178">
        <v>10450000</v>
      </c>
    </row>
    <row r="60" spans="1:8">
      <c r="A60" s="174" t="s">
        <v>353</v>
      </c>
      <c r="B60" s="177">
        <f>B54*$G$3</f>
        <v>657000</v>
      </c>
      <c r="C60" s="177">
        <f t="shared" ref="C60:H60" si="18">C54*$G$3</f>
        <v>1314000</v>
      </c>
      <c r="D60" s="177">
        <f t="shared" si="18"/>
        <v>1642500</v>
      </c>
      <c r="E60" s="177">
        <f t="shared" si="18"/>
        <v>1971000</v>
      </c>
      <c r="F60" s="177">
        <f t="shared" si="18"/>
        <v>2628000</v>
      </c>
      <c r="G60" s="177">
        <f t="shared" si="18"/>
        <v>3285000</v>
      </c>
      <c r="H60" s="178">
        <f t="shared" si="18"/>
        <v>6570000</v>
      </c>
    </row>
    <row r="61" spans="1:8">
      <c r="A61" s="174" t="s">
        <v>354</v>
      </c>
      <c r="B61" s="177">
        <f>B54*$G$4</f>
        <v>973000</v>
      </c>
      <c r="C61" s="177">
        <f t="shared" ref="C61:H61" si="19">C54*$G$4</f>
        <v>1946000</v>
      </c>
      <c r="D61" s="177">
        <f t="shared" si="19"/>
        <v>2432500</v>
      </c>
      <c r="E61" s="177">
        <f t="shared" si="19"/>
        <v>2919000</v>
      </c>
      <c r="F61" s="177">
        <f t="shared" si="19"/>
        <v>3892000</v>
      </c>
      <c r="G61" s="177">
        <f t="shared" si="19"/>
        <v>4865000</v>
      </c>
      <c r="H61" s="178">
        <f t="shared" si="19"/>
        <v>9730000</v>
      </c>
    </row>
    <row r="62" spans="1:8">
      <c r="A62" s="174"/>
      <c r="B62" s="50"/>
      <c r="C62" s="50"/>
      <c r="D62" s="50"/>
      <c r="E62" s="50"/>
      <c r="F62" s="50"/>
      <c r="G62" s="50"/>
      <c r="H62" s="173"/>
    </row>
    <row r="63" spans="1:8">
      <c r="A63" s="174"/>
      <c r="B63" s="50"/>
      <c r="C63" s="50"/>
      <c r="D63" s="50"/>
      <c r="E63" s="50"/>
      <c r="F63" s="50"/>
      <c r="G63" s="50"/>
      <c r="H63" s="173"/>
    </row>
    <row r="64" spans="1:8">
      <c r="A64" s="174" t="s">
        <v>359</v>
      </c>
      <c r="B64" s="50">
        <v>1000</v>
      </c>
      <c r="C64" s="50">
        <v>2000</v>
      </c>
      <c r="D64" s="50">
        <v>2500</v>
      </c>
      <c r="E64" s="50">
        <v>3000</v>
      </c>
      <c r="F64" s="50">
        <v>4000</v>
      </c>
      <c r="G64" s="50">
        <v>5000</v>
      </c>
      <c r="H64" s="173">
        <v>10000</v>
      </c>
    </row>
    <row r="65" spans="1:8">
      <c r="A65" s="174" t="s">
        <v>360</v>
      </c>
      <c r="B65" s="175">
        <f>B60/48000</f>
        <v>13.6875</v>
      </c>
      <c r="C65" s="175">
        <f t="shared" ref="C65:G65" si="20">C60/48000</f>
        <v>27.375</v>
      </c>
      <c r="D65" s="175">
        <f t="shared" si="20"/>
        <v>34.21875</v>
      </c>
      <c r="E65" s="175">
        <f t="shared" si="20"/>
        <v>41.0625</v>
      </c>
      <c r="F65" s="175">
        <f t="shared" si="20"/>
        <v>54.75</v>
      </c>
      <c r="G65" s="175">
        <f t="shared" si="20"/>
        <v>68.4375</v>
      </c>
      <c r="H65" s="176">
        <f t="shared" ref="H65" si="21">H60/48000</f>
        <v>136.875</v>
      </c>
    </row>
    <row r="66" spans="1:8">
      <c r="A66" s="174" t="s">
        <v>361</v>
      </c>
      <c r="B66" s="175">
        <f>B61/48000</f>
        <v>20.270833333333332</v>
      </c>
      <c r="C66" s="175">
        <f t="shared" ref="C66:G66" si="22">C61/48000</f>
        <v>40.541666666666664</v>
      </c>
      <c r="D66" s="175">
        <f t="shared" si="22"/>
        <v>50.677083333333336</v>
      </c>
      <c r="E66" s="175">
        <f t="shared" si="22"/>
        <v>60.8125</v>
      </c>
      <c r="F66" s="175">
        <f t="shared" si="22"/>
        <v>81.083333333333329</v>
      </c>
      <c r="G66" s="175">
        <f t="shared" si="22"/>
        <v>101.35416666666667</v>
      </c>
      <c r="H66" s="176">
        <f t="shared" ref="H66" si="23">H61/48000</f>
        <v>202.70833333333334</v>
      </c>
    </row>
    <row r="67" spans="1:8">
      <c r="A67" s="174" t="s">
        <v>362</v>
      </c>
      <c r="B67" s="175">
        <f>B50/48000</f>
        <v>12.6875</v>
      </c>
      <c r="C67" s="175">
        <f t="shared" ref="C67:G67" si="24">C50/48000</f>
        <v>25.375</v>
      </c>
      <c r="D67" s="175">
        <f t="shared" si="24"/>
        <v>31.71875</v>
      </c>
      <c r="E67" s="175">
        <f t="shared" si="24"/>
        <v>38.0625</v>
      </c>
      <c r="F67" s="175">
        <f t="shared" si="24"/>
        <v>50.75</v>
      </c>
      <c r="G67" s="175">
        <f t="shared" si="24"/>
        <v>63.4375</v>
      </c>
      <c r="H67" s="176">
        <f t="shared" ref="H67" si="25">H50/48000</f>
        <v>126.875</v>
      </c>
    </row>
    <row r="68" spans="1:8" ht="15.75" thickBot="1">
      <c r="A68" s="179" t="s">
        <v>363</v>
      </c>
      <c r="B68" s="180">
        <f>B51/48000</f>
        <v>18.895833333333332</v>
      </c>
      <c r="C68" s="180">
        <f t="shared" ref="C68:G68" si="26">C51/48000</f>
        <v>37.791666666666664</v>
      </c>
      <c r="D68" s="180">
        <f t="shared" si="26"/>
        <v>47.239583333333336</v>
      </c>
      <c r="E68" s="180">
        <f t="shared" si="26"/>
        <v>56.6875</v>
      </c>
      <c r="F68" s="180">
        <f t="shared" si="26"/>
        <v>75.583333333333329</v>
      </c>
      <c r="G68" s="180">
        <f t="shared" si="26"/>
        <v>94.479166666666671</v>
      </c>
      <c r="H68" s="188">
        <f t="shared" ref="H68" si="27">H51/48000</f>
        <v>188.95833333333334</v>
      </c>
    </row>
    <row r="73" spans="1:8">
      <c r="A73" s="237" t="s">
        <v>195</v>
      </c>
      <c r="B73" s="237"/>
    </row>
    <row r="74" spans="1:8">
      <c r="A74" s="66">
        <v>0.05</v>
      </c>
      <c r="B74" s="182" t="s">
        <v>132</v>
      </c>
    </row>
    <row r="75" spans="1:8" ht="30">
      <c r="A75" s="182">
        <v>2</v>
      </c>
      <c r="B75" s="182" t="s">
        <v>133</v>
      </c>
    </row>
    <row r="76" spans="1:8">
      <c r="A76" s="182">
        <v>40</v>
      </c>
      <c r="B76" s="182" t="s">
        <v>134</v>
      </c>
      <c r="D76" s="171" t="s">
        <v>366</v>
      </c>
      <c r="E76" s="171" t="s">
        <v>367</v>
      </c>
      <c r="F76" s="171" t="s">
        <v>368</v>
      </c>
      <c r="G76" s="171" t="s">
        <v>49</v>
      </c>
    </row>
    <row r="77" spans="1:8" ht="45">
      <c r="A77" s="183">
        <f>4530000000+2079000000</f>
        <v>6609000000</v>
      </c>
      <c r="B77" s="182" t="s">
        <v>136</v>
      </c>
      <c r="D77" s="171">
        <f>335000</f>
        <v>335000</v>
      </c>
      <c r="E77" s="43">
        <f>4530000000+277000000</f>
        <v>4807000000</v>
      </c>
      <c r="F77" s="43">
        <f>E77/D77</f>
        <v>14349.253731343284</v>
      </c>
      <c r="G77" s="171" t="s">
        <v>369</v>
      </c>
    </row>
    <row r="78" spans="1:8" ht="60">
      <c r="A78" s="20">
        <f>((((1+A74)^(1/A75)-1)/(1-(1+((1+A74)^(1/A75)-1))^-(A76*A75)))*A77)*A75</f>
        <v>380462590.73626155</v>
      </c>
      <c r="B78" s="182" t="s">
        <v>135</v>
      </c>
      <c r="D78" s="182">
        <f>335000</f>
        <v>335000</v>
      </c>
      <c r="E78" s="43">
        <f>6609000000</f>
        <v>6609000000</v>
      </c>
      <c r="F78" s="43">
        <f>E78/D78</f>
        <v>19728.358208955226</v>
      </c>
      <c r="G78" s="171" t="s">
        <v>370</v>
      </c>
    </row>
    <row r="83" spans="1:4">
      <c r="A83" s="171" t="s">
        <v>377</v>
      </c>
      <c r="B83" s="237" t="s">
        <v>378</v>
      </c>
      <c r="C83" s="237"/>
      <c r="D83" s="171">
        <v>235000</v>
      </c>
    </row>
    <row r="84" spans="1:4">
      <c r="B84" s="171" t="s">
        <v>380</v>
      </c>
      <c r="C84" s="189">
        <v>9700000</v>
      </c>
    </row>
    <row r="85" spans="1:4">
      <c r="B85" s="171" t="s">
        <v>381</v>
      </c>
      <c r="C85" s="189">
        <v>15000000</v>
      </c>
    </row>
    <row r="86" spans="1:4">
      <c r="B86" s="171" t="s">
        <v>379</v>
      </c>
      <c r="C86" s="189">
        <v>43400000</v>
      </c>
    </row>
    <row r="87" spans="1:4">
      <c r="A87" s="237" t="s">
        <v>382</v>
      </c>
      <c r="B87" s="237" t="s">
        <v>383</v>
      </c>
      <c r="C87" s="237"/>
      <c r="D87" s="237"/>
    </row>
    <row r="88" spans="1:4">
      <c r="A88" s="237"/>
      <c r="B88" s="171" t="s">
        <v>380</v>
      </c>
      <c r="C88" s="171" t="s">
        <v>381</v>
      </c>
      <c r="D88" s="171" t="s">
        <v>379</v>
      </c>
    </row>
    <row r="89" spans="1:4">
      <c r="A89" s="171">
        <v>1000</v>
      </c>
      <c r="B89" s="43">
        <f>($C$84/$D$83)*A89</f>
        <v>41276.595744680853</v>
      </c>
      <c r="C89" s="43">
        <f>($C$85/$D$83)*$A89</f>
        <v>63829.787234042553</v>
      </c>
      <c r="D89" s="43">
        <f>($C$86/$D$83)*$A89</f>
        <v>184680.85106382979</v>
      </c>
    </row>
    <row r="90" spans="1:4">
      <c r="A90" s="171">
        <v>1500</v>
      </c>
      <c r="B90" s="43">
        <f t="shared" ref="B90:B96" si="28">($C$84/$D$83)*A90</f>
        <v>61914.893617021284</v>
      </c>
      <c r="C90" s="43">
        <f t="shared" ref="C90:C94" si="29">($C$85/$D$83)*$A90</f>
        <v>95744.680851063837</v>
      </c>
      <c r="D90" s="43">
        <f t="shared" ref="D90:D96" si="30">($C$86/$D$83)*$A90</f>
        <v>277021.27659574465</v>
      </c>
    </row>
    <row r="91" spans="1:4">
      <c r="A91" s="171">
        <v>2000</v>
      </c>
      <c r="B91" s="43">
        <f t="shared" si="28"/>
        <v>82553.191489361707</v>
      </c>
      <c r="C91" s="43">
        <f t="shared" si="29"/>
        <v>127659.57446808511</v>
      </c>
      <c r="D91" s="43">
        <f t="shared" si="30"/>
        <v>369361.70212765958</v>
      </c>
    </row>
    <row r="92" spans="1:4">
      <c r="A92" s="171">
        <v>2500</v>
      </c>
      <c r="B92" s="43">
        <f t="shared" si="28"/>
        <v>103191.48936170213</v>
      </c>
      <c r="C92" s="43">
        <f t="shared" si="29"/>
        <v>159574.46808510637</v>
      </c>
      <c r="D92" s="43">
        <f t="shared" si="30"/>
        <v>461702.12765957444</v>
      </c>
    </row>
    <row r="93" spans="1:4">
      <c r="A93" s="171">
        <v>3000</v>
      </c>
      <c r="B93" s="43">
        <f t="shared" si="28"/>
        <v>123829.78723404257</v>
      </c>
      <c r="C93" s="43">
        <f t="shared" si="29"/>
        <v>191489.36170212767</v>
      </c>
      <c r="D93" s="43">
        <f t="shared" si="30"/>
        <v>554042.55319148931</v>
      </c>
    </row>
    <row r="94" spans="1:4">
      <c r="A94" s="171">
        <v>4000</v>
      </c>
      <c r="B94" s="43">
        <f t="shared" si="28"/>
        <v>165106.38297872341</v>
      </c>
      <c r="C94" s="43">
        <f t="shared" si="29"/>
        <v>255319.14893617021</v>
      </c>
      <c r="D94" s="43">
        <f t="shared" si="30"/>
        <v>738723.40425531915</v>
      </c>
    </row>
    <row r="95" spans="1:4">
      <c r="A95" s="171">
        <v>5000</v>
      </c>
      <c r="B95" s="43">
        <f t="shared" si="28"/>
        <v>206382.97872340426</v>
      </c>
      <c r="C95" s="43">
        <f>($C$85/$D$83)*$A95</f>
        <v>319148.93617021275</v>
      </c>
      <c r="D95" s="43">
        <f t="shared" si="30"/>
        <v>923404.25531914888</v>
      </c>
    </row>
    <row r="96" spans="1:4">
      <c r="A96" s="171">
        <v>1</v>
      </c>
      <c r="B96" s="43">
        <f t="shared" si="28"/>
        <v>41.276595744680854</v>
      </c>
      <c r="C96" s="43">
        <f>($C$85/$D$83)*$A96</f>
        <v>63.829787234042556</v>
      </c>
      <c r="D96" s="43">
        <f t="shared" si="30"/>
        <v>184.68085106382978</v>
      </c>
    </row>
  </sheetData>
  <mergeCells count="15">
    <mergeCell ref="I2:M2"/>
    <mergeCell ref="A9:F9"/>
    <mergeCell ref="A19:F19"/>
    <mergeCell ref="D1:E1"/>
    <mergeCell ref="A73:B73"/>
    <mergeCell ref="A37:G37"/>
    <mergeCell ref="A8:H8"/>
    <mergeCell ref="A42:H42"/>
    <mergeCell ref="A43:F43"/>
    <mergeCell ref="A53:F53"/>
    <mergeCell ref="B83:C83"/>
    <mergeCell ref="A87:A88"/>
    <mergeCell ref="B87:D87"/>
    <mergeCell ref="B1:C1"/>
    <mergeCell ref="F1:G1"/>
  </mergeCells>
  <pageMargins left="0.7" right="0.7" top="0.75" bottom="0.75" header="0.3" footer="0.3"/>
  <pageSetup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M54"/>
  <sheetViews>
    <sheetView topLeftCell="A10" workbookViewId="0">
      <selection activeCell="AB34" sqref="AB34"/>
    </sheetView>
  </sheetViews>
  <sheetFormatPr defaultRowHeight="15"/>
  <cols>
    <col min="1" max="1" width="11.5703125" style="192" bestFit="1" customWidth="1"/>
    <col min="2" max="16" width="13.7109375" style="192" bestFit="1" customWidth="1"/>
    <col min="17" max="17" width="14.7109375" style="192" bestFit="1" customWidth="1"/>
    <col min="18" max="38" width="13.7109375" style="192" bestFit="1" customWidth="1"/>
    <col min="39" max="65" width="9.140625" style="192"/>
  </cols>
  <sheetData>
    <row r="3" spans="1:38">
      <c r="A3" s="237" t="s">
        <v>389</v>
      </c>
      <c r="B3" s="237"/>
    </row>
    <row r="4" spans="1:38" ht="30">
      <c r="A4" s="192" t="s">
        <v>390</v>
      </c>
      <c r="B4" s="192" t="s">
        <v>391</v>
      </c>
    </row>
    <row r="5" spans="1:38">
      <c r="A5" s="192">
        <v>700</v>
      </c>
      <c r="B5" s="192">
        <v>2875</v>
      </c>
    </row>
    <row r="7" spans="1:38" ht="15.75" thickBot="1"/>
    <row r="8" spans="1:38">
      <c r="B8" s="274" t="s">
        <v>401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6"/>
    </row>
    <row r="9" spans="1:38" ht="15.75" thickBot="1">
      <c r="A9" s="193" t="s">
        <v>392</v>
      </c>
      <c r="B9" s="203">
        <v>700</v>
      </c>
      <c r="C9" s="204">
        <v>725</v>
      </c>
      <c r="D9" s="204">
        <v>750</v>
      </c>
      <c r="E9" s="204">
        <v>775</v>
      </c>
      <c r="F9" s="204">
        <v>800</v>
      </c>
      <c r="G9" s="204">
        <v>825</v>
      </c>
      <c r="H9" s="204">
        <v>850</v>
      </c>
      <c r="I9" s="204">
        <v>875</v>
      </c>
      <c r="J9" s="204">
        <v>900</v>
      </c>
      <c r="K9" s="204">
        <v>925</v>
      </c>
      <c r="L9" s="204">
        <v>950</v>
      </c>
      <c r="M9" s="204">
        <v>975</v>
      </c>
      <c r="N9" s="205">
        <v>1000</v>
      </c>
      <c r="O9" s="204">
        <v>1025</v>
      </c>
      <c r="P9" s="204">
        <v>1050</v>
      </c>
      <c r="Q9" s="204">
        <v>1075</v>
      </c>
      <c r="R9" s="204">
        <v>1100</v>
      </c>
      <c r="S9" s="204">
        <v>1125</v>
      </c>
      <c r="T9" s="205">
        <v>1150</v>
      </c>
      <c r="U9" s="204">
        <v>1175</v>
      </c>
      <c r="V9" s="204">
        <v>1200</v>
      </c>
      <c r="W9" s="204">
        <v>1225</v>
      </c>
      <c r="X9" s="204">
        <v>1250</v>
      </c>
      <c r="Y9" s="204">
        <v>1275</v>
      </c>
      <c r="Z9" s="205">
        <v>1300</v>
      </c>
      <c r="AA9" s="204">
        <v>1325</v>
      </c>
      <c r="AB9" s="204">
        <v>1350</v>
      </c>
      <c r="AC9" s="204">
        <v>1375</v>
      </c>
      <c r="AD9" s="204">
        <v>1400</v>
      </c>
      <c r="AE9" s="204">
        <v>1425</v>
      </c>
      <c r="AF9" s="205">
        <v>1450</v>
      </c>
      <c r="AG9" s="204">
        <v>1475</v>
      </c>
      <c r="AH9" s="204">
        <v>1500</v>
      </c>
      <c r="AI9" s="204">
        <v>1525</v>
      </c>
      <c r="AJ9" s="204">
        <v>1550</v>
      </c>
      <c r="AK9" s="204">
        <v>1575</v>
      </c>
      <c r="AL9" s="205">
        <v>1600</v>
      </c>
    </row>
    <row r="10" spans="1:38">
      <c r="A10" s="193">
        <v>500</v>
      </c>
      <c r="B10" s="214">
        <f>B$9*$A10</f>
        <v>350000</v>
      </c>
      <c r="C10" s="215">
        <f t="shared" ref="C10:AL20" si="0">C$9*$A10</f>
        <v>362500</v>
      </c>
      <c r="D10" s="215">
        <f t="shared" si="0"/>
        <v>375000</v>
      </c>
      <c r="E10" s="215">
        <f t="shared" si="0"/>
        <v>387500</v>
      </c>
      <c r="F10" s="215">
        <f t="shared" si="0"/>
        <v>400000</v>
      </c>
      <c r="G10" s="215">
        <f t="shared" si="0"/>
        <v>412500</v>
      </c>
      <c r="H10" s="215">
        <f t="shared" si="0"/>
        <v>425000</v>
      </c>
      <c r="I10" s="215">
        <f t="shared" si="0"/>
        <v>437500</v>
      </c>
      <c r="J10" s="215">
        <f t="shared" si="0"/>
        <v>450000</v>
      </c>
      <c r="K10" s="215">
        <f t="shared" si="0"/>
        <v>462500</v>
      </c>
      <c r="L10" s="215">
        <f t="shared" si="0"/>
        <v>475000</v>
      </c>
      <c r="M10" s="215">
        <f t="shared" si="0"/>
        <v>487500</v>
      </c>
      <c r="N10" s="216">
        <f t="shared" si="0"/>
        <v>500000</v>
      </c>
      <c r="O10" s="216">
        <f t="shared" si="0"/>
        <v>512500</v>
      </c>
      <c r="P10" s="216">
        <f t="shared" si="0"/>
        <v>525000</v>
      </c>
      <c r="Q10" s="216">
        <f t="shared" si="0"/>
        <v>537500</v>
      </c>
      <c r="R10" s="216">
        <f t="shared" si="0"/>
        <v>550000</v>
      </c>
      <c r="S10" s="216">
        <f t="shared" si="0"/>
        <v>562500</v>
      </c>
      <c r="T10" s="216">
        <f t="shared" si="0"/>
        <v>575000</v>
      </c>
      <c r="U10" s="216">
        <f t="shared" si="0"/>
        <v>587500</v>
      </c>
      <c r="V10" s="216">
        <f t="shared" si="0"/>
        <v>600000</v>
      </c>
      <c r="W10" s="216">
        <f t="shared" si="0"/>
        <v>612500</v>
      </c>
      <c r="X10" s="216">
        <f t="shared" si="0"/>
        <v>625000</v>
      </c>
      <c r="Y10" s="216">
        <f t="shared" si="0"/>
        <v>637500</v>
      </c>
      <c r="Z10" s="216">
        <f t="shared" si="0"/>
        <v>650000</v>
      </c>
      <c r="AA10" s="216">
        <f t="shared" si="0"/>
        <v>662500</v>
      </c>
      <c r="AB10" s="216">
        <f t="shared" si="0"/>
        <v>675000</v>
      </c>
      <c r="AC10" s="216">
        <f t="shared" si="0"/>
        <v>687500</v>
      </c>
      <c r="AD10" s="216">
        <f t="shared" si="0"/>
        <v>700000</v>
      </c>
      <c r="AE10" s="216">
        <f t="shared" si="0"/>
        <v>712500</v>
      </c>
      <c r="AF10" s="216">
        <f t="shared" si="0"/>
        <v>725000</v>
      </c>
      <c r="AG10" s="216">
        <f t="shared" si="0"/>
        <v>737500</v>
      </c>
      <c r="AH10" s="216">
        <f t="shared" si="0"/>
        <v>750000</v>
      </c>
      <c r="AI10" s="216">
        <f t="shared" si="0"/>
        <v>762500</v>
      </c>
      <c r="AJ10" s="216">
        <f t="shared" si="0"/>
        <v>775000</v>
      </c>
      <c r="AK10" s="216">
        <f t="shared" si="0"/>
        <v>787500</v>
      </c>
      <c r="AL10" s="216">
        <f t="shared" si="0"/>
        <v>800000</v>
      </c>
    </row>
    <row r="11" spans="1:38">
      <c r="A11" s="193">
        <v>750</v>
      </c>
      <c r="B11" s="217">
        <f t="shared" ref="B11:Q24" si="1">B$9*$A11</f>
        <v>525000</v>
      </c>
      <c r="C11" s="208">
        <f t="shared" si="1"/>
        <v>543750</v>
      </c>
      <c r="D11" s="208">
        <f t="shared" si="1"/>
        <v>562500</v>
      </c>
      <c r="E11" s="208">
        <f t="shared" si="1"/>
        <v>581250</v>
      </c>
      <c r="F11" s="208">
        <f t="shared" si="1"/>
        <v>600000</v>
      </c>
      <c r="G11" s="208">
        <f t="shared" si="1"/>
        <v>618750</v>
      </c>
      <c r="H11" s="208">
        <f t="shared" si="1"/>
        <v>637500</v>
      </c>
      <c r="I11" s="208">
        <f t="shared" si="1"/>
        <v>656250</v>
      </c>
      <c r="J11" s="208">
        <f t="shared" si="1"/>
        <v>675000</v>
      </c>
      <c r="K11" s="208">
        <f t="shared" si="1"/>
        <v>693750</v>
      </c>
      <c r="L11" s="208">
        <f t="shared" si="1"/>
        <v>712500</v>
      </c>
      <c r="M11" s="208">
        <f t="shared" si="1"/>
        <v>731250</v>
      </c>
      <c r="N11" s="218">
        <f t="shared" si="1"/>
        <v>750000</v>
      </c>
      <c r="O11" s="218">
        <f t="shared" si="1"/>
        <v>768750</v>
      </c>
      <c r="P11" s="218">
        <f t="shared" si="1"/>
        <v>787500</v>
      </c>
      <c r="Q11" s="218">
        <f t="shared" si="1"/>
        <v>806250</v>
      </c>
      <c r="R11" s="218">
        <f t="shared" si="0"/>
        <v>825000</v>
      </c>
      <c r="S11" s="218">
        <f t="shared" si="0"/>
        <v>843750</v>
      </c>
      <c r="T11" s="218">
        <f t="shared" si="0"/>
        <v>862500</v>
      </c>
      <c r="U11" s="218">
        <f t="shared" si="0"/>
        <v>881250</v>
      </c>
      <c r="V11" s="218">
        <f t="shared" si="0"/>
        <v>900000</v>
      </c>
      <c r="W11" s="218">
        <f t="shared" si="0"/>
        <v>918750</v>
      </c>
      <c r="X11" s="218">
        <f t="shared" si="0"/>
        <v>937500</v>
      </c>
      <c r="Y11" s="218">
        <f t="shared" si="0"/>
        <v>956250</v>
      </c>
      <c r="Z11" s="218">
        <f t="shared" si="0"/>
        <v>975000</v>
      </c>
      <c r="AA11" s="218">
        <f t="shared" si="0"/>
        <v>993750</v>
      </c>
      <c r="AB11" s="218">
        <f t="shared" si="0"/>
        <v>1012500</v>
      </c>
      <c r="AC11" s="218">
        <f t="shared" si="0"/>
        <v>1031250</v>
      </c>
      <c r="AD11" s="218">
        <f t="shared" si="0"/>
        <v>1050000</v>
      </c>
      <c r="AE11" s="218">
        <f t="shared" si="0"/>
        <v>1068750</v>
      </c>
      <c r="AF11" s="218">
        <f t="shared" si="0"/>
        <v>1087500</v>
      </c>
      <c r="AG11" s="218">
        <f t="shared" si="0"/>
        <v>1106250</v>
      </c>
      <c r="AH11" s="218">
        <f t="shared" si="0"/>
        <v>1125000</v>
      </c>
      <c r="AI11" s="218">
        <f t="shared" si="0"/>
        <v>1143750</v>
      </c>
      <c r="AJ11" s="218">
        <f t="shared" si="0"/>
        <v>1162500</v>
      </c>
      <c r="AK11" s="218">
        <f t="shared" si="0"/>
        <v>1181250</v>
      </c>
      <c r="AL11" s="218">
        <f t="shared" si="0"/>
        <v>1200000</v>
      </c>
    </row>
    <row r="12" spans="1:38">
      <c r="A12" s="193">
        <v>1000</v>
      </c>
      <c r="B12" s="217">
        <f t="shared" si="1"/>
        <v>700000</v>
      </c>
      <c r="C12" s="208">
        <f t="shared" si="1"/>
        <v>725000</v>
      </c>
      <c r="D12" s="208">
        <f t="shared" si="1"/>
        <v>750000</v>
      </c>
      <c r="E12" s="210">
        <f t="shared" si="1"/>
        <v>775000</v>
      </c>
      <c r="F12" s="210">
        <f t="shared" si="1"/>
        <v>800000</v>
      </c>
      <c r="G12" s="210">
        <f t="shared" si="1"/>
        <v>825000</v>
      </c>
      <c r="H12" s="210">
        <f t="shared" si="1"/>
        <v>850000</v>
      </c>
      <c r="I12" s="210">
        <f t="shared" si="1"/>
        <v>875000</v>
      </c>
      <c r="J12" s="210">
        <f t="shared" si="1"/>
        <v>900000</v>
      </c>
      <c r="K12" s="210">
        <f t="shared" si="1"/>
        <v>925000</v>
      </c>
      <c r="L12" s="210">
        <f t="shared" si="1"/>
        <v>950000</v>
      </c>
      <c r="M12" s="210">
        <f t="shared" si="1"/>
        <v>975000</v>
      </c>
      <c r="N12" s="219">
        <f t="shared" si="1"/>
        <v>1000000</v>
      </c>
      <c r="O12" s="219">
        <f t="shared" si="0"/>
        <v>1025000</v>
      </c>
      <c r="P12" s="219">
        <f t="shared" si="0"/>
        <v>1050000</v>
      </c>
      <c r="Q12" s="219">
        <f t="shared" si="0"/>
        <v>1075000</v>
      </c>
      <c r="R12" s="219">
        <f t="shared" si="0"/>
        <v>1100000</v>
      </c>
      <c r="S12" s="219">
        <f t="shared" si="0"/>
        <v>1125000</v>
      </c>
      <c r="T12" s="219">
        <f t="shared" si="0"/>
        <v>1150000</v>
      </c>
      <c r="U12" s="219">
        <f t="shared" si="0"/>
        <v>1175000</v>
      </c>
      <c r="V12" s="219">
        <f t="shared" si="0"/>
        <v>1200000</v>
      </c>
      <c r="W12" s="219">
        <f t="shared" si="0"/>
        <v>1225000</v>
      </c>
      <c r="X12" s="219">
        <f t="shared" si="0"/>
        <v>1250000</v>
      </c>
      <c r="Y12" s="219">
        <f t="shared" si="0"/>
        <v>1275000</v>
      </c>
      <c r="Z12" s="219">
        <f t="shared" si="0"/>
        <v>1300000</v>
      </c>
      <c r="AA12" s="219">
        <f t="shared" si="0"/>
        <v>1325000</v>
      </c>
      <c r="AB12" s="219">
        <f t="shared" si="0"/>
        <v>1350000</v>
      </c>
      <c r="AC12" s="219">
        <f t="shared" si="0"/>
        <v>1375000</v>
      </c>
      <c r="AD12" s="219">
        <f t="shared" si="0"/>
        <v>1400000</v>
      </c>
      <c r="AE12" s="219">
        <f t="shared" si="0"/>
        <v>1425000</v>
      </c>
      <c r="AF12" s="219">
        <f t="shared" si="0"/>
        <v>1450000</v>
      </c>
      <c r="AG12" s="219">
        <f t="shared" si="0"/>
        <v>1475000</v>
      </c>
      <c r="AH12" s="219">
        <f t="shared" si="0"/>
        <v>1500000</v>
      </c>
      <c r="AI12" s="219">
        <f t="shared" si="0"/>
        <v>1525000</v>
      </c>
      <c r="AJ12" s="219">
        <f t="shared" si="0"/>
        <v>1550000</v>
      </c>
      <c r="AK12" s="219">
        <f t="shared" si="0"/>
        <v>1575000</v>
      </c>
      <c r="AL12" s="219">
        <f t="shared" si="0"/>
        <v>1600000</v>
      </c>
    </row>
    <row r="13" spans="1:38">
      <c r="A13" s="193">
        <v>1250</v>
      </c>
      <c r="B13" s="220">
        <f t="shared" si="1"/>
        <v>875000</v>
      </c>
      <c r="C13" s="210">
        <f t="shared" si="1"/>
        <v>906250</v>
      </c>
      <c r="D13" s="210">
        <f t="shared" si="1"/>
        <v>937500</v>
      </c>
      <c r="E13" s="210">
        <f t="shared" si="1"/>
        <v>968750</v>
      </c>
      <c r="F13" s="210">
        <f t="shared" si="1"/>
        <v>1000000</v>
      </c>
      <c r="G13" s="207">
        <f t="shared" si="1"/>
        <v>1031250</v>
      </c>
      <c r="H13" s="207">
        <f t="shared" si="1"/>
        <v>1062500</v>
      </c>
      <c r="I13" s="207">
        <f t="shared" si="1"/>
        <v>1093750</v>
      </c>
      <c r="J13" s="207">
        <f t="shared" si="1"/>
        <v>1125000</v>
      </c>
      <c r="K13" s="207">
        <f t="shared" si="1"/>
        <v>1156250</v>
      </c>
      <c r="L13" s="207">
        <f t="shared" si="1"/>
        <v>1187500</v>
      </c>
      <c r="M13" s="207">
        <f t="shared" si="1"/>
        <v>1218750</v>
      </c>
      <c r="N13" s="221">
        <f t="shared" si="1"/>
        <v>1250000</v>
      </c>
      <c r="O13" s="221">
        <f t="shared" si="0"/>
        <v>1281250</v>
      </c>
      <c r="P13" s="221">
        <f t="shared" si="0"/>
        <v>1312500</v>
      </c>
      <c r="Q13" s="221">
        <f t="shared" si="0"/>
        <v>1343750</v>
      </c>
      <c r="R13" s="221">
        <f t="shared" si="0"/>
        <v>1375000</v>
      </c>
      <c r="S13" s="221">
        <f t="shared" si="0"/>
        <v>1406250</v>
      </c>
      <c r="T13" s="221">
        <f t="shared" si="0"/>
        <v>1437500</v>
      </c>
      <c r="U13" s="221">
        <f t="shared" si="0"/>
        <v>1468750</v>
      </c>
      <c r="V13" s="221">
        <f t="shared" si="0"/>
        <v>1500000</v>
      </c>
      <c r="W13" s="221">
        <f t="shared" si="0"/>
        <v>1531250</v>
      </c>
      <c r="X13" s="221">
        <f t="shared" si="0"/>
        <v>1562500</v>
      </c>
      <c r="Y13" s="221">
        <f t="shared" si="0"/>
        <v>1593750</v>
      </c>
      <c r="Z13" s="221">
        <f t="shared" si="0"/>
        <v>1625000</v>
      </c>
      <c r="AA13" s="221">
        <f t="shared" si="0"/>
        <v>1656250</v>
      </c>
      <c r="AB13" s="221">
        <f t="shared" si="0"/>
        <v>1687500</v>
      </c>
      <c r="AC13" s="221">
        <f t="shared" si="0"/>
        <v>1718750</v>
      </c>
      <c r="AD13" s="221">
        <f t="shared" si="0"/>
        <v>1750000</v>
      </c>
      <c r="AE13" s="221">
        <f t="shared" si="0"/>
        <v>1781250</v>
      </c>
      <c r="AF13" s="221">
        <f t="shared" si="0"/>
        <v>1812500</v>
      </c>
      <c r="AG13" s="221">
        <f t="shared" si="0"/>
        <v>1843750</v>
      </c>
      <c r="AH13" s="221">
        <f t="shared" si="0"/>
        <v>1875000</v>
      </c>
      <c r="AI13" s="221">
        <f t="shared" si="0"/>
        <v>1906250</v>
      </c>
      <c r="AJ13" s="221">
        <f t="shared" si="0"/>
        <v>1937500</v>
      </c>
      <c r="AK13" s="221">
        <f t="shared" si="0"/>
        <v>1968750</v>
      </c>
      <c r="AL13" s="221">
        <f t="shared" si="0"/>
        <v>2000000</v>
      </c>
    </row>
    <row r="14" spans="1:38">
      <c r="A14" s="193">
        <v>1500</v>
      </c>
      <c r="B14" s="222">
        <f t="shared" si="1"/>
        <v>1050000</v>
      </c>
      <c r="C14" s="207">
        <f t="shared" si="1"/>
        <v>1087500</v>
      </c>
      <c r="D14" s="207">
        <f t="shared" si="1"/>
        <v>1125000</v>
      </c>
      <c r="E14" s="207">
        <f t="shared" si="1"/>
        <v>1162500</v>
      </c>
      <c r="F14" s="207">
        <f t="shared" si="1"/>
        <v>1200000</v>
      </c>
      <c r="G14" s="207">
        <f t="shared" si="1"/>
        <v>1237500</v>
      </c>
      <c r="H14" s="211">
        <f t="shared" si="1"/>
        <v>1275000</v>
      </c>
      <c r="I14" s="211">
        <f t="shared" si="1"/>
        <v>1312500</v>
      </c>
      <c r="J14" s="211">
        <f t="shared" si="1"/>
        <v>1350000</v>
      </c>
      <c r="K14" s="211">
        <f t="shared" si="1"/>
        <v>1387500</v>
      </c>
      <c r="L14" s="211">
        <f t="shared" si="1"/>
        <v>1425000</v>
      </c>
      <c r="M14" s="211">
        <f t="shared" si="1"/>
        <v>1462500</v>
      </c>
      <c r="N14" s="223">
        <f t="shared" si="1"/>
        <v>1500000</v>
      </c>
      <c r="O14" s="223">
        <f t="shared" si="0"/>
        <v>1537500</v>
      </c>
      <c r="P14" s="223">
        <f t="shared" si="0"/>
        <v>1575000</v>
      </c>
      <c r="Q14" s="223">
        <f t="shared" si="0"/>
        <v>1612500</v>
      </c>
      <c r="R14" s="223">
        <f t="shared" si="0"/>
        <v>1650000</v>
      </c>
      <c r="S14" s="223">
        <f t="shared" si="0"/>
        <v>1687500</v>
      </c>
      <c r="T14" s="223">
        <f t="shared" si="0"/>
        <v>1725000</v>
      </c>
      <c r="U14" s="223">
        <f t="shared" si="0"/>
        <v>1762500</v>
      </c>
      <c r="V14" s="223">
        <f t="shared" si="0"/>
        <v>1800000</v>
      </c>
      <c r="W14" s="223">
        <f t="shared" si="0"/>
        <v>1837500</v>
      </c>
      <c r="X14" s="223">
        <f t="shared" si="0"/>
        <v>1875000</v>
      </c>
      <c r="Y14" s="223">
        <f t="shared" si="0"/>
        <v>1912500</v>
      </c>
      <c r="Z14" s="223">
        <f t="shared" si="0"/>
        <v>1950000</v>
      </c>
      <c r="AA14" s="223">
        <f t="shared" si="0"/>
        <v>1987500</v>
      </c>
      <c r="AB14" s="223">
        <f t="shared" si="0"/>
        <v>2025000</v>
      </c>
      <c r="AC14" s="223">
        <f t="shared" si="0"/>
        <v>2062500</v>
      </c>
      <c r="AD14" s="223">
        <f t="shared" si="0"/>
        <v>2100000</v>
      </c>
      <c r="AE14" s="223">
        <f t="shared" si="0"/>
        <v>2137500</v>
      </c>
      <c r="AF14" s="223">
        <f t="shared" si="0"/>
        <v>2175000</v>
      </c>
      <c r="AG14" s="223">
        <f t="shared" si="0"/>
        <v>2212500</v>
      </c>
      <c r="AH14" s="223">
        <f t="shared" si="0"/>
        <v>2250000</v>
      </c>
      <c r="AI14" s="223">
        <f t="shared" si="0"/>
        <v>2287500</v>
      </c>
      <c r="AJ14" s="223">
        <f t="shared" si="0"/>
        <v>2325000</v>
      </c>
      <c r="AK14" s="223">
        <f t="shared" si="0"/>
        <v>2362500</v>
      </c>
      <c r="AL14" s="223">
        <f t="shared" si="0"/>
        <v>2400000</v>
      </c>
    </row>
    <row r="15" spans="1:38">
      <c r="A15" s="193">
        <v>1750</v>
      </c>
      <c r="B15" s="222">
        <f t="shared" si="1"/>
        <v>1225000</v>
      </c>
      <c r="C15" s="211">
        <f t="shared" si="1"/>
        <v>1268750</v>
      </c>
      <c r="D15" s="211">
        <f t="shared" si="1"/>
        <v>1312500</v>
      </c>
      <c r="E15" s="211">
        <f t="shared" si="1"/>
        <v>1356250</v>
      </c>
      <c r="F15" s="211">
        <f t="shared" si="1"/>
        <v>1400000</v>
      </c>
      <c r="G15" s="211">
        <f t="shared" si="1"/>
        <v>1443750</v>
      </c>
      <c r="H15" s="211">
        <f t="shared" si="1"/>
        <v>1487500</v>
      </c>
      <c r="I15" s="213">
        <f t="shared" si="1"/>
        <v>1531250</v>
      </c>
      <c r="J15" s="213">
        <f t="shared" si="1"/>
        <v>1575000</v>
      </c>
      <c r="K15" s="213">
        <f t="shared" si="1"/>
        <v>1618750</v>
      </c>
      <c r="L15" s="213">
        <f t="shared" si="1"/>
        <v>1662500</v>
      </c>
      <c r="M15" s="213">
        <f t="shared" si="1"/>
        <v>1706250</v>
      </c>
      <c r="N15" s="224">
        <f t="shared" si="1"/>
        <v>1750000</v>
      </c>
      <c r="O15" s="224">
        <f t="shared" si="0"/>
        <v>1793750</v>
      </c>
      <c r="P15" s="224">
        <f t="shared" si="0"/>
        <v>1837500</v>
      </c>
      <c r="Q15" s="224">
        <f t="shared" si="0"/>
        <v>1881250</v>
      </c>
      <c r="R15" s="224">
        <f t="shared" si="0"/>
        <v>1925000</v>
      </c>
      <c r="S15" s="224">
        <f t="shared" si="0"/>
        <v>1968750</v>
      </c>
      <c r="T15" s="224">
        <f t="shared" si="0"/>
        <v>2012500</v>
      </c>
      <c r="U15" s="224">
        <f t="shared" si="0"/>
        <v>2056250</v>
      </c>
      <c r="V15" s="224">
        <f t="shared" si="0"/>
        <v>2100000</v>
      </c>
      <c r="W15" s="224">
        <f t="shared" si="0"/>
        <v>2143750</v>
      </c>
      <c r="X15" s="224">
        <f t="shared" si="0"/>
        <v>2187500</v>
      </c>
      <c r="Y15" s="224">
        <f t="shared" si="0"/>
        <v>2231250</v>
      </c>
      <c r="Z15" s="224">
        <f t="shared" si="0"/>
        <v>2275000</v>
      </c>
      <c r="AA15" s="224">
        <f t="shared" si="0"/>
        <v>2318750</v>
      </c>
      <c r="AB15" s="224">
        <f t="shared" si="0"/>
        <v>2362500</v>
      </c>
      <c r="AC15" s="224">
        <f t="shared" si="0"/>
        <v>2406250</v>
      </c>
      <c r="AD15" s="224">
        <f t="shared" si="0"/>
        <v>2450000</v>
      </c>
      <c r="AE15" s="224">
        <f t="shared" si="0"/>
        <v>2493750</v>
      </c>
      <c r="AF15" s="224">
        <f t="shared" si="0"/>
        <v>2537500</v>
      </c>
      <c r="AG15" s="224">
        <f t="shared" si="0"/>
        <v>2581250</v>
      </c>
      <c r="AH15" s="224">
        <f t="shared" si="0"/>
        <v>2625000</v>
      </c>
      <c r="AI15" s="224">
        <f t="shared" si="0"/>
        <v>2668750</v>
      </c>
      <c r="AJ15" s="224">
        <f t="shared" si="0"/>
        <v>2712500</v>
      </c>
      <c r="AK15" s="224">
        <f t="shared" si="0"/>
        <v>2756250</v>
      </c>
      <c r="AL15" s="224">
        <f t="shared" si="0"/>
        <v>2800000</v>
      </c>
    </row>
    <row r="16" spans="1:38">
      <c r="A16" s="193">
        <v>2000</v>
      </c>
      <c r="B16" s="225">
        <f t="shared" si="1"/>
        <v>1400000</v>
      </c>
      <c r="C16" s="211">
        <f t="shared" si="1"/>
        <v>1450000</v>
      </c>
      <c r="D16" s="213">
        <f t="shared" si="1"/>
        <v>1500000</v>
      </c>
      <c r="E16" s="213">
        <f t="shared" si="1"/>
        <v>1550000</v>
      </c>
      <c r="F16" s="213">
        <f t="shared" si="1"/>
        <v>1600000</v>
      </c>
      <c r="G16" s="213">
        <f t="shared" si="1"/>
        <v>1650000</v>
      </c>
      <c r="H16" s="213">
        <f t="shared" si="1"/>
        <v>1700000</v>
      </c>
      <c r="I16" s="213">
        <f t="shared" si="1"/>
        <v>1750000</v>
      </c>
      <c r="J16" s="213">
        <f t="shared" si="1"/>
        <v>1800000</v>
      </c>
      <c r="K16" s="213">
        <f t="shared" si="1"/>
        <v>1850000</v>
      </c>
      <c r="L16" s="213">
        <f t="shared" si="1"/>
        <v>1900000</v>
      </c>
      <c r="M16" s="213">
        <f t="shared" si="1"/>
        <v>1950000</v>
      </c>
      <c r="N16" s="224">
        <f t="shared" si="1"/>
        <v>2000000</v>
      </c>
      <c r="O16" s="224">
        <f t="shared" si="0"/>
        <v>2050000</v>
      </c>
      <c r="P16" s="224">
        <f t="shared" si="0"/>
        <v>2100000</v>
      </c>
      <c r="Q16" s="224">
        <f t="shared" si="0"/>
        <v>2150000</v>
      </c>
      <c r="R16" s="224">
        <f t="shared" si="0"/>
        <v>2200000</v>
      </c>
      <c r="S16" s="224">
        <f t="shared" si="0"/>
        <v>2250000</v>
      </c>
      <c r="T16" s="224">
        <f t="shared" si="0"/>
        <v>2300000</v>
      </c>
      <c r="U16" s="224">
        <f t="shared" si="0"/>
        <v>2350000</v>
      </c>
      <c r="V16" s="224">
        <f t="shared" si="0"/>
        <v>2400000</v>
      </c>
      <c r="W16" s="224">
        <f t="shared" si="0"/>
        <v>2450000</v>
      </c>
      <c r="X16" s="224">
        <f t="shared" si="0"/>
        <v>2500000</v>
      </c>
      <c r="Y16" s="224">
        <f t="shared" si="0"/>
        <v>2550000</v>
      </c>
      <c r="Z16" s="224">
        <f t="shared" si="0"/>
        <v>2600000</v>
      </c>
      <c r="AA16" s="224">
        <f t="shared" si="0"/>
        <v>2650000</v>
      </c>
      <c r="AB16" s="224">
        <f t="shared" si="0"/>
        <v>2700000</v>
      </c>
      <c r="AC16" s="224">
        <f t="shared" si="0"/>
        <v>2750000</v>
      </c>
      <c r="AD16" s="224">
        <f t="shared" si="0"/>
        <v>2800000</v>
      </c>
      <c r="AE16" s="224">
        <f t="shared" si="0"/>
        <v>2850000</v>
      </c>
      <c r="AF16" s="224">
        <f t="shared" si="0"/>
        <v>2900000</v>
      </c>
      <c r="AG16" s="224">
        <f t="shared" si="0"/>
        <v>2950000</v>
      </c>
      <c r="AH16" s="224">
        <f t="shared" si="0"/>
        <v>3000000</v>
      </c>
      <c r="AI16" s="224">
        <f t="shared" si="0"/>
        <v>3050000</v>
      </c>
      <c r="AJ16" s="224">
        <f t="shared" si="0"/>
        <v>3100000</v>
      </c>
      <c r="AK16" s="224">
        <f t="shared" si="0"/>
        <v>3150000</v>
      </c>
      <c r="AL16" s="224">
        <f t="shared" si="0"/>
        <v>3200000</v>
      </c>
    </row>
    <row r="17" spans="1:38">
      <c r="A17" s="193">
        <v>2250</v>
      </c>
      <c r="B17" s="226">
        <f t="shared" si="1"/>
        <v>1575000</v>
      </c>
      <c r="C17" s="213">
        <f t="shared" si="1"/>
        <v>1631250</v>
      </c>
      <c r="D17" s="213">
        <f t="shared" si="1"/>
        <v>1687500</v>
      </c>
      <c r="E17" s="213">
        <f t="shared" si="1"/>
        <v>1743750</v>
      </c>
      <c r="F17" s="213">
        <f t="shared" si="1"/>
        <v>1800000</v>
      </c>
      <c r="G17" s="213">
        <f t="shared" si="1"/>
        <v>1856250</v>
      </c>
      <c r="H17" s="213">
        <f t="shared" si="1"/>
        <v>1912500</v>
      </c>
      <c r="I17" s="213">
        <f t="shared" si="1"/>
        <v>1968750</v>
      </c>
      <c r="J17" s="213">
        <f t="shared" si="1"/>
        <v>2025000</v>
      </c>
      <c r="K17" s="213">
        <f t="shared" si="1"/>
        <v>2081250</v>
      </c>
      <c r="L17" s="213">
        <f t="shared" si="1"/>
        <v>2137500</v>
      </c>
      <c r="M17" s="213">
        <f t="shared" si="1"/>
        <v>2193750</v>
      </c>
      <c r="N17" s="224">
        <f t="shared" si="1"/>
        <v>2250000</v>
      </c>
      <c r="O17" s="224">
        <f t="shared" si="0"/>
        <v>2306250</v>
      </c>
      <c r="P17" s="224">
        <f t="shared" si="0"/>
        <v>2362500</v>
      </c>
      <c r="Q17" s="224">
        <f t="shared" si="0"/>
        <v>2418750</v>
      </c>
      <c r="R17" s="224">
        <f t="shared" si="0"/>
        <v>2475000</v>
      </c>
      <c r="S17" s="224">
        <f t="shared" si="0"/>
        <v>2531250</v>
      </c>
      <c r="T17" s="224">
        <f t="shared" si="0"/>
        <v>2587500</v>
      </c>
      <c r="U17" s="224">
        <f t="shared" si="0"/>
        <v>2643750</v>
      </c>
      <c r="V17" s="224">
        <f t="shared" si="0"/>
        <v>2700000</v>
      </c>
      <c r="W17" s="224">
        <f t="shared" si="0"/>
        <v>2756250</v>
      </c>
      <c r="X17" s="224">
        <f t="shared" si="0"/>
        <v>2812500</v>
      </c>
      <c r="Y17" s="224">
        <f t="shared" si="0"/>
        <v>2868750</v>
      </c>
      <c r="Z17" s="224">
        <f t="shared" si="0"/>
        <v>2925000</v>
      </c>
      <c r="AA17" s="224">
        <f t="shared" si="0"/>
        <v>2981250</v>
      </c>
      <c r="AB17" s="224">
        <f t="shared" si="0"/>
        <v>3037500</v>
      </c>
      <c r="AC17" s="224">
        <f t="shared" si="0"/>
        <v>3093750</v>
      </c>
      <c r="AD17" s="224">
        <f t="shared" si="0"/>
        <v>3150000</v>
      </c>
      <c r="AE17" s="224">
        <f t="shared" si="0"/>
        <v>3206250</v>
      </c>
      <c r="AF17" s="224">
        <f t="shared" si="0"/>
        <v>3262500</v>
      </c>
      <c r="AG17" s="224">
        <f t="shared" si="0"/>
        <v>3318750</v>
      </c>
      <c r="AH17" s="224">
        <f t="shared" si="0"/>
        <v>3375000</v>
      </c>
      <c r="AI17" s="224">
        <f t="shared" si="0"/>
        <v>3431250</v>
      </c>
      <c r="AJ17" s="224">
        <f t="shared" si="0"/>
        <v>3487500</v>
      </c>
      <c r="AK17" s="224">
        <f t="shared" si="0"/>
        <v>3543750</v>
      </c>
      <c r="AL17" s="224">
        <f t="shared" si="0"/>
        <v>3600000</v>
      </c>
    </row>
    <row r="18" spans="1:38">
      <c r="A18" s="193">
        <v>2500</v>
      </c>
      <c r="B18" s="226">
        <f t="shared" si="1"/>
        <v>1750000</v>
      </c>
      <c r="C18" s="213">
        <f t="shared" si="1"/>
        <v>1812500</v>
      </c>
      <c r="D18" s="213">
        <f t="shared" si="1"/>
        <v>1875000</v>
      </c>
      <c r="E18" s="213">
        <f t="shared" si="1"/>
        <v>1937500</v>
      </c>
      <c r="F18" s="213">
        <f t="shared" si="1"/>
        <v>2000000</v>
      </c>
      <c r="G18" s="213">
        <f t="shared" si="1"/>
        <v>2062500</v>
      </c>
      <c r="H18" s="213">
        <f t="shared" si="1"/>
        <v>2125000</v>
      </c>
      <c r="I18" s="213">
        <f t="shared" si="1"/>
        <v>2187500</v>
      </c>
      <c r="J18" s="213">
        <f t="shared" si="1"/>
        <v>2250000</v>
      </c>
      <c r="K18" s="213">
        <f t="shared" si="1"/>
        <v>2312500</v>
      </c>
      <c r="L18" s="213">
        <f t="shared" si="1"/>
        <v>2375000</v>
      </c>
      <c r="M18" s="213">
        <f t="shared" si="1"/>
        <v>2437500</v>
      </c>
      <c r="N18" s="224">
        <f t="shared" si="1"/>
        <v>2500000</v>
      </c>
      <c r="O18" s="224">
        <f t="shared" si="0"/>
        <v>2562500</v>
      </c>
      <c r="P18" s="224">
        <f t="shared" si="0"/>
        <v>2625000</v>
      </c>
      <c r="Q18" s="224">
        <f t="shared" si="0"/>
        <v>2687500</v>
      </c>
      <c r="R18" s="224">
        <f t="shared" si="0"/>
        <v>2750000</v>
      </c>
      <c r="S18" s="224">
        <f t="shared" si="0"/>
        <v>2812500</v>
      </c>
      <c r="T18" s="224">
        <f t="shared" si="0"/>
        <v>2875000</v>
      </c>
      <c r="U18" s="224">
        <f t="shared" si="0"/>
        <v>2937500</v>
      </c>
      <c r="V18" s="224">
        <f t="shared" si="0"/>
        <v>3000000</v>
      </c>
      <c r="W18" s="224">
        <f t="shared" si="0"/>
        <v>3062500</v>
      </c>
      <c r="X18" s="224">
        <f t="shared" si="0"/>
        <v>3125000</v>
      </c>
      <c r="Y18" s="224">
        <f t="shared" si="0"/>
        <v>3187500</v>
      </c>
      <c r="Z18" s="224">
        <f t="shared" si="0"/>
        <v>3250000</v>
      </c>
      <c r="AA18" s="224">
        <f t="shared" si="0"/>
        <v>3312500</v>
      </c>
      <c r="AB18" s="224">
        <f t="shared" si="0"/>
        <v>3375000</v>
      </c>
      <c r="AC18" s="224">
        <f t="shared" si="0"/>
        <v>3437500</v>
      </c>
      <c r="AD18" s="224">
        <f t="shared" si="0"/>
        <v>3500000</v>
      </c>
      <c r="AE18" s="224">
        <f t="shared" si="0"/>
        <v>3562500</v>
      </c>
      <c r="AF18" s="224">
        <f t="shared" si="0"/>
        <v>3625000</v>
      </c>
      <c r="AG18" s="224">
        <f t="shared" si="0"/>
        <v>3687500</v>
      </c>
      <c r="AH18" s="224">
        <f t="shared" si="0"/>
        <v>3750000</v>
      </c>
      <c r="AI18" s="224">
        <f t="shared" si="0"/>
        <v>3812500</v>
      </c>
      <c r="AJ18" s="224">
        <f t="shared" si="0"/>
        <v>3875000</v>
      </c>
      <c r="AK18" s="224">
        <f t="shared" si="0"/>
        <v>3937500</v>
      </c>
      <c r="AL18" s="224">
        <f t="shared" si="0"/>
        <v>4000000</v>
      </c>
    </row>
    <row r="19" spans="1:38">
      <c r="A19" s="193">
        <v>2750</v>
      </c>
      <c r="B19" s="226">
        <f t="shared" si="1"/>
        <v>1925000</v>
      </c>
      <c r="C19" s="213">
        <f t="shared" si="1"/>
        <v>1993750</v>
      </c>
      <c r="D19" s="213">
        <f t="shared" si="1"/>
        <v>2062500</v>
      </c>
      <c r="E19" s="213">
        <f t="shared" si="1"/>
        <v>2131250</v>
      </c>
      <c r="F19" s="213">
        <f t="shared" si="1"/>
        <v>2200000</v>
      </c>
      <c r="G19" s="213">
        <f t="shared" si="1"/>
        <v>2268750</v>
      </c>
      <c r="H19" s="213">
        <f t="shared" si="1"/>
        <v>2337500</v>
      </c>
      <c r="I19" s="213">
        <f t="shared" si="1"/>
        <v>2406250</v>
      </c>
      <c r="J19" s="213">
        <f t="shared" si="1"/>
        <v>2475000</v>
      </c>
      <c r="K19" s="209">
        <f t="shared" si="1"/>
        <v>2543750</v>
      </c>
      <c r="L19" s="209">
        <f t="shared" si="1"/>
        <v>2612500</v>
      </c>
      <c r="M19" s="209">
        <f t="shared" si="1"/>
        <v>2681250</v>
      </c>
      <c r="N19" s="227">
        <f t="shared" si="1"/>
        <v>2750000</v>
      </c>
      <c r="O19" s="227">
        <f t="shared" si="0"/>
        <v>2818750</v>
      </c>
      <c r="P19" s="227">
        <f t="shared" si="0"/>
        <v>2887500</v>
      </c>
      <c r="Q19" s="227">
        <f t="shared" si="0"/>
        <v>2956250</v>
      </c>
      <c r="R19" s="227">
        <f t="shared" si="0"/>
        <v>3025000</v>
      </c>
      <c r="S19" s="227">
        <f t="shared" si="0"/>
        <v>3093750</v>
      </c>
      <c r="T19" s="227">
        <f t="shared" si="0"/>
        <v>3162500</v>
      </c>
      <c r="U19" s="227">
        <f t="shared" si="0"/>
        <v>3231250</v>
      </c>
      <c r="V19" s="227">
        <f t="shared" si="0"/>
        <v>3300000</v>
      </c>
      <c r="W19" s="227">
        <f t="shared" si="0"/>
        <v>3368750</v>
      </c>
      <c r="X19" s="227">
        <f t="shared" si="0"/>
        <v>3437500</v>
      </c>
      <c r="Y19" s="227">
        <f t="shared" si="0"/>
        <v>3506250</v>
      </c>
      <c r="Z19" s="227">
        <f t="shared" si="0"/>
        <v>3575000</v>
      </c>
      <c r="AA19" s="227">
        <f t="shared" si="0"/>
        <v>3643750</v>
      </c>
      <c r="AB19" s="227">
        <f t="shared" si="0"/>
        <v>3712500</v>
      </c>
      <c r="AC19" s="227">
        <f t="shared" si="0"/>
        <v>3781250</v>
      </c>
      <c r="AD19" s="227">
        <f t="shared" si="0"/>
        <v>3850000</v>
      </c>
      <c r="AE19" s="227">
        <f t="shared" si="0"/>
        <v>3918750</v>
      </c>
      <c r="AF19" s="227">
        <f t="shared" si="0"/>
        <v>3987500</v>
      </c>
      <c r="AG19" s="227">
        <f t="shared" si="0"/>
        <v>4056250</v>
      </c>
      <c r="AH19" s="227">
        <f t="shared" si="0"/>
        <v>4125000</v>
      </c>
      <c r="AI19" s="227">
        <f t="shared" si="0"/>
        <v>4193750</v>
      </c>
      <c r="AJ19" s="227">
        <f t="shared" si="0"/>
        <v>4262500</v>
      </c>
      <c r="AK19" s="227">
        <f t="shared" si="0"/>
        <v>4331250</v>
      </c>
      <c r="AL19" s="227">
        <f t="shared" si="0"/>
        <v>4400000</v>
      </c>
    </row>
    <row r="20" spans="1:38">
      <c r="A20" s="193">
        <v>3000</v>
      </c>
      <c r="B20" s="226">
        <f t="shared" si="1"/>
        <v>2100000</v>
      </c>
      <c r="C20" s="213">
        <f t="shared" si="1"/>
        <v>2175000</v>
      </c>
      <c r="D20" s="213">
        <f t="shared" si="1"/>
        <v>2250000</v>
      </c>
      <c r="E20" s="213">
        <f t="shared" si="1"/>
        <v>2325000</v>
      </c>
      <c r="F20" s="213">
        <f t="shared" si="1"/>
        <v>2400000</v>
      </c>
      <c r="G20" s="213">
        <f t="shared" si="1"/>
        <v>2475000</v>
      </c>
      <c r="H20" s="209">
        <f t="shared" si="1"/>
        <v>2550000</v>
      </c>
      <c r="I20" s="209">
        <f t="shared" si="1"/>
        <v>2625000</v>
      </c>
      <c r="J20" s="209">
        <f t="shared" si="1"/>
        <v>2700000</v>
      </c>
      <c r="K20" s="209">
        <f t="shared" si="1"/>
        <v>2775000</v>
      </c>
      <c r="L20" s="209">
        <f t="shared" si="1"/>
        <v>2850000</v>
      </c>
      <c r="M20" s="209">
        <f t="shared" si="1"/>
        <v>2925000</v>
      </c>
      <c r="N20" s="227">
        <f t="shared" si="1"/>
        <v>3000000</v>
      </c>
      <c r="O20" s="227">
        <f t="shared" si="0"/>
        <v>3075000</v>
      </c>
      <c r="P20" s="227">
        <f t="shared" si="0"/>
        <v>3150000</v>
      </c>
      <c r="Q20" s="227">
        <f t="shared" si="0"/>
        <v>3225000</v>
      </c>
      <c r="R20" s="227">
        <f t="shared" si="0"/>
        <v>3300000</v>
      </c>
      <c r="S20" s="227">
        <f t="shared" si="0"/>
        <v>3375000</v>
      </c>
      <c r="T20" s="227">
        <f t="shared" si="0"/>
        <v>3450000</v>
      </c>
      <c r="U20" s="227">
        <f t="shared" ref="O20:AL24" si="2">U$9*$A20</f>
        <v>3525000</v>
      </c>
      <c r="V20" s="227">
        <f t="shared" si="2"/>
        <v>3600000</v>
      </c>
      <c r="W20" s="227">
        <f t="shared" si="2"/>
        <v>3675000</v>
      </c>
      <c r="X20" s="227">
        <f t="shared" si="2"/>
        <v>3750000</v>
      </c>
      <c r="Y20" s="227">
        <f t="shared" si="2"/>
        <v>3825000</v>
      </c>
      <c r="Z20" s="227">
        <f t="shared" si="2"/>
        <v>3900000</v>
      </c>
      <c r="AA20" s="227">
        <f t="shared" si="2"/>
        <v>3975000</v>
      </c>
      <c r="AB20" s="227">
        <f t="shared" si="2"/>
        <v>4050000</v>
      </c>
      <c r="AC20" s="227">
        <f t="shared" si="2"/>
        <v>4125000</v>
      </c>
      <c r="AD20" s="227">
        <f t="shared" si="2"/>
        <v>4200000</v>
      </c>
      <c r="AE20" s="227">
        <f t="shared" si="2"/>
        <v>4275000</v>
      </c>
      <c r="AF20" s="227">
        <f t="shared" si="2"/>
        <v>4350000</v>
      </c>
      <c r="AG20" s="227">
        <f t="shared" si="2"/>
        <v>4425000</v>
      </c>
      <c r="AH20" s="227">
        <f t="shared" si="2"/>
        <v>4500000</v>
      </c>
      <c r="AI20" s="227">
        <f t="shared" si="2"/>
        <v>4575000</v>
      </c>
      <c r="AJ20" s="227">
        <f t="shared" si="2"/>
        <v>4650000</v>
      </c>
      <c r="AK20" s="227">
        <f t="shared" si="2"/>
        <v>4725000</v>
      </c>
      <c r="AL20" s="227">
        <f t="shared" si="2"/>
        <v>4800000</v>
      </c>
    </row>
    <row r="21" spans="1:38">
      <c r="A21" s="193">
        <v>3250</v>
      </c>
      <c r="B21" s="226">
        <f t="shared" si="1"/>
        <v>2275000</v>
      </c>
      <c r="C21" s="213">
        <f t="shared" si="1"/>
        <v>2356250</v>
      </c>
      <c r="D21" s="213">
        <f t="shared" si="1"/>
        <v>2437500</v>
      </c>
      <c r="E21" s="209">
        <f t="shared" si="1"/>
        <v>2518750</v>
      </c>
      <c r="F21" s="209">
        <f t="shared" si="1"/>
        <v>2600000</v>
      </c>
      <c r="G21" s="209">
        <f t="shared" si="1"/>
        <v>2681250</v>
      </c>
      <c r="H21" s="209">
        <f t="shared" si="1"/>
        <v>2762500</v>
      </c>
      <c r="I21" s="209">
        <f t="shared" si="1"/>
        <v>2843750</v>
      </c>
      <c r="J21" s="209">
        <f t="shared" si="1"/>
        <v>2925000</v>
      </c>
      <c r="K21" s="209">
        <f t="shared" si="1"/>
        <v>3006250</v>
      </c>
      <c r="L21" s="209">
        <f t="shared" si="1"/>
        <v>3087500</v>
      </c>
      <c r="M21" s="209">
        <f t="shared" si="1"/>
        <v>3168750</v>
      </c>
      <c r="N21" s="227">
        <f t="shared" si="1"/>
        <v>3250000</v>
      </c>
      <c r="O21" s="227">
        <f t="shared" si="2"/>
        <v>3331250</v>
      </c>
      <c r="P21" s="227">
        <f t="shared" si="2"/>
        <v>3412500</v>
      </c>
      <c r="Q21" s="227">
        <f t="shared" si="2"/>
        <v>3493750</v>
      </c>
      <c r="R21" s="227">
        <f t="shared" si="2"/>
        <v>3575000</v>
      </c>
      <c r="S21" s="227">
        <f t="shared" si="2"/>
        <v>3656250</v>
      </c>
      <c r="T21" s="227">
        <f t="shared" si="2"/>
        <v>3737500</v>
      </c>
      <c r="U21" s="227">
        <f t="shared" si="2"/>
        <v>3818750</v>
      </c>
      <c r="V21" s="227">
        <f t="shared" si="2"/>
        <v>3900000</v>
      </c>
      <c r="W21" s="227">
        <f t="shared" si="2"/>
        <v>3981250</v>
      </c>
      <c r="X21" s="227">
        <f t="shared" si="2"/>
        <v>4062500</v>
      </c>
      <c r="Y21" s="227">
        <f t="shared" si="2"/>
        <v>4143750</v>
      </c>
      <c r="Z21" s="227">
        <f t="shared" si="2"/>
        <v>4225000</v>
      </c>
      <c r="AA21" s="227">
        <f t="shared" si="2"/>
        <v>4306250</v>
      </c>
      <c r="AB21" s="227">
        <f t="shared" si="2"/>
        <v>4387500</v>
      </c>
      <c r="AC21" s="227">
        <f t="shared" si="2"/>
        <v>4468750</v>
      </c>
      <c r="AD21" s="227">
        <f t="shared" si="2"/>
        <v>4550000</v>
      </c>
      <c r="AE21" s="227">
        <f t="shared" si="2"/>
        <v>4631250</v>
      </c>
      <c r="AF21" s="227">
        <f t="shared" si="2"/>
        <v>4712500</v>
      </c>
      <c r="AG21" s="227">
        <f t="shared" si="2"/>
        <v>4793750</v>
      </c>
      <c r="AH21" s="227">
        <f t="shared" si="2"/>
        <v>4875000</v>
      </c>
      <c r="AI21" s="227">
        <f t="shared" si="2"/>
        <v>4956250</v>
      </c>
      <c r="AJ21" s="227">
        <f t="shared" si="2"/>
        <v>5037500</v>
      </c>
      <c r="AK21" s="227">
        <f t="shared" si="2"/>
        <v>5118750</v>
      </c>
      <c r="AL21" s="227">
        <f t="shared" si="2"/>
        <v>5200000</v>
      </c>
    </row>
    <row r="22" spans="1:38">
      <c r="A22" s="193">
        <v>3500</v>
      </c>
      <c r="B22" s="226">
        <f t="shared" si="1"/>
        <v>2450000</v>
      </c>
      <c r="C22" s="209">
        <f t="shared" si="1"/>
        <v>2537500</v>
      </c>
      <c r="D22" s="209">
        <f t="shared" si="1"/>
        <v>2625000</v>
      </c>
      <c r="E22" s="209">
        <f t="shared" si="1"/>
        <v>2712500</v>
      </c>
      <c r="F22" s="209">
        <f t="shared" si="1"/>
        <v>2800000</v>
      </c>
      <c r="G22" s="209">
        <f t="shared" si="1"/>
        <v>2887500</v>
      </c>
      <c r="H22" s="209">
        <f t="shared" si="1"/>
        <v>2975000</v>
      </c>
      <c r="I22" s="209">
        <f t="shared" si="1"/>
        <v>3062500</v>
      </c>
      <c r="J22" s="209">
        <f t="shared" si="1"/>
        <v>3150000</v>
      </c>
      <c r="K22" s="209">
        <f t="shared" si="1"/>
        <v>3237500</v>
      </c>
      <c r="L22" s="209">
        <f t="shared" si="1"/>
        <v>3325000</v>
      </c>
      <c r="M22" s="209">
        <f t="shared" si="1"/>
        <v>3412500</v>
      </c>
      <c r="N22" s="228">
        <f t="shared" si="1"/>
        <v>3500000</v>
      </c>
      <c r="O22" s="228">
        <f t="shared" si="2"/>
        <v>3587500</v>
      </c>
      <c r="P22" s="228">
        <f t="shared" si="2"/>
        <v>3675000</v>
      </c>
      <c r="Q22" s="228">
        <f t="shared" si="2"/>
        <v>3762500</v>
      </c>
      <c r="R22" s="228">
        <f t="shared" si="2"/>
        <v>3850000</v>
      </c>
      <c r="S22" s="228">
        <f t="shared" si="2"/>
        <v>3937500</v>
      </c>
      <c r="T22" s="228">
        <f t="shared" si="2"/>
        <v>4025000</v>
      </c>
      <c r="U22" s="228">
        <f t="shared" si="2"/>
        <v>4112500</v>
      </c>
      <c r="V22" s="228">
        <f t="shared" si="2"/>
        <v>4200000</v>
      </c>
      <c r="W22" s="228">
        <f t="shared" si="2"/>
        <v>4287500</v>
      </c>
      <c r="X22" s="228">
        <f t="shared" si="2"/>
        <v>4375000</v>
      </c>
      <c r="Y22" s="228">
        <f t="shared" si="2"/>
        <v>4462500</v>
      </c>
      <c r="Z22" s="228">
        <f t="shared" si="2"/>
        <v>4550000</v>
      </c>
      <c r="AA22" s="228">
        <f t="shared" si="2"/>
        <v>4637500</v>
      </c>
      <c r="AB22" s="228">
        <f t="shared" si="2"/>
        <v>4725000</v>
      </c>
      <c r="AC22" s="228">
        <f t="shared" si="2"/>
        <v>4812500</v>
      </c>
      <c r="AD22" s="228">
        <f t="shared" si="2"/>
        <v>4900000</v>
      </c>
      <c r="AE22" s="228">
        <f t="shared" si="2"/>
        <v>4987500</v>
      </c>
      <c r="AF22" s="228">
        <f t="shared" si="2"/>
        <v>5075000</v>
      </c>
      <c r="AG22" s="228">
        <f t="shared" si="2"/>
        <v>5162500</v>
      </c>
      <c r="AH22" s="228">
        <f t="shared" si="2"/>
        <v>5250000</v>
      </c>
      <c r="AI22" s="228">
        <f t="shared" si="2"/>
        <v>5337500</v>
      </c>
      <c r="AJ22" s="228">
        <f t="shared" si="2"/>
        <v>5425000</v>
      </c>
      <c r="AK22" s="228">
        <f t="shared" si="2"/>
        <v>5512500</v>
      </c>
      <c r="AL22" s="228">
        <f t="shared" si="2"/>
        <v>5600000</v>
      </c>
    </row>
    <row r="23" spans="1:38">
      <c r="A23" s="193">
        <v>3750</v>
      </c>
      <c r="B23" s="229">
        <f t="shared" si="1"/>
        <v>2625000</v>
      </c>
      <c r="C23" s="209">
        <f t="shared" si="1"/>
        <v>2718750</v>
      </c>
      <c r="D23" s="209">
        <f t="shared" si="1"/>
        <v>2812500</v>
      </c>
      <c r="E23" s="209">
        <f t="shared" si="1"/>
        <v>2906250</v>
      </c>
      <c r="F23" s="209">
        <f t="shared" si="1"/>
        <v>3000000</v>
      </c>
      <c r="G23" s="209">
        <f t="shared" si="1"/>
        <v>3093750</v>
      </c>
      <c r="H23" s="209">
        <f t="shared" si="1"/>
        <v>3187500</v>
      </c>
      <c r="I23" s="209">
        <f t="shared" si="1"/>
        <v>3281250</v>
      </c>
      <c r="J23" s="209">
        <f t="shared" si="1"/>
        <v>3375000</v>
      </c>
      <c r="K23" s="209">
        <f t="shared" si="1"/>
        <v>3468750</v>
      </c>
      <c r="L23" s="206">
        <f t="shared" si="1"/>
        <v>3562500</v>
      </c>
      <c r="M23" s="206">
        <f t="shared" si="1"/>
        <v>3656250</v>
      </c>
      <c r="N23" s="228">
        <f t="shared" si="1"/>
        <v>3750000</v>
      </c>
      <c r="O23" s="228">
        <f t="shared" si="2"/>
        <v>3843750</v>
      </c>
      <c r="P23" s="228">
        <f t="shared" si="2"/>
        <v>3937500</v>
      </c>
      <c r="Q23" s="228">
        <f t="shared" si="2"/>
        <v>4031250</v>
      </c>
      <c r="R23" s="228">
        <f t="shared" si="2"/>
        <v>4125000</v>
      </c>
      <c r="S23" s="228">
        <f t="shared" si="2"/>
        <v>4218750</v>
      </c>
      <c r="T23" s="228">
        <f t="shared" si="2"/>
        <v>4312500</v>
      </c>
      <c r="U23" s="228">
        <f t="shared" si="2"/>
        <v>4406250</v>
      </c>
      <c r="V23" s="228">
        <f t="shared" si="2"/>
        <v>4500000</v>
      </c>
      <c r="W23" s="228">
        <f t="shared" si="2"/>
        <v>4593750</v>
      </c>
      <c r="X23" s="228">
        <f t="shared" si="2"/>
        <v>4687500</v>
      </c>
      <c r="Y23" s="228">
        <f t="shared" si="2"/>
        <v>4781250</v>
      </c>
      <c r="Z23" s="228">
        <f t="shared" si="2"/>
        <v>4875000</v>
      </c>
      <c r="AA23" s="228">
        <f t="shared" si="2"/>
        <v>4968750</v>
      </c>
      <c r="AB23" s="228">
        <f t="shared" si="2"/>
        <v>5062500</v>
      </c>
      <c r="AC23" s="228">
        <f t="shared" si="2"/>
        <v>5156250</v>
      </c>
      <c r="AD23" s="228">
        <f t="shared" si="2"/>
        <v>5250000</v>
      </c>
      <c r="AE23" s="228">
        <f t="shared" si="2"/>
        <v>5343750</v>
      </c>
      <c r="AF23" s="228">
        <f t="shared" si="2"/>
        <v>5437500</v>
      </c>
      <c r="AG23" s="228">
        <f t="shared" si="2"/>
        <v>5531250</v>
      </c>
      <c r="AH23" s="228">
        <f t="shared" si="2"/>
        <v>5625000</v>
      </c>
      <c r="AI23" s="228">
        <f t="shared" si="2"/>
        <v>5718750</v>
      </c>
      <c r="AJ23" s="228">
        <f t="shared" si="2"/>
        <v>5812500</v>
      </c>
      <c r="AK23" s="228">
        <f t="shared" si="2"/>
        <v>5906250</v>
      </c>
      <c r="AL23" s="228">
        <f t="shared" si="2"/>
        <v>6000000</v>
      </c>
    </row>
    <row r="24" spans="1:38" ht="15.75" thickBot="1">
      <c r="A24" s="193">
        <v>4000</v>
      </c>
      <c r="B24" s="230">
        <f t="shared" si="1"/>
        <v>2800000</v>
      </c>
      <c r="C24" s="231">
        <f t="shared" si="1"/>
        <v>2900000</v>
      </c>
      <c r="D24" s="231">
        <f t="shared" si="1"/>
        <v>3000000</v>
      </c>
      <c r="E24" s="231">
        <f t="shared" si="1"/>
        <v>3100000</v>
      </c>
      <c r="F24" s="231">
        <f t="shared" si="1"/>
        <v>3200000</v>
      </c>
      <c r="G24" s="231">
        <f t="shared" si="1"/>
        <v>3300000</v>
      </c>
      <c r="H24" s="231">
        <f t="shared" si="1"/>
        <v>3400000</v>
      </c>
      <c r="I24" s="232">
        <f t="shared" si="1"/>
        <v>3500000</v>
      </c>
      <c r="J24" s="232">
        <f t="shared" si="1"/>
        <v>3600000</v>
      </c>
      <c r="K24" s="232">
        <f t="shared" si="1"/>
        <v>3700000</v>
      </c>
      <c r="L24" s="232">
        <f t="shared" si="1"/>
        <v>3800000</v>
      </c>
      <c r="M24" s="232">
        <f t="shared" si="1"/>
        <v>3900000</v>
      </c>
      <c r="N24" s="233">
        <f>N$9*$A24</f>
        <v>4000000</v>
      </c>
      <c r="O24" s="233">
        <f t="shared" si="2"/>
        <v>4100000</v>
      </c>
      <c r="P24" s="233">
        <f t="shared" si="2"/>
        <v>4200000</v>
      </c>
      <c r="Q24" s="233">
        <f t="shared" si="2"/>
        <v>4300000</v>
      </c>
      <c r="R24" s="233">
        <f t="shared" si="2"/>
        <v>4400000</v>
      </c>
      <c r="S24" s="233">
        <f t="shared" si="2"/>
        <v>4500000</v>
      </c>
      <c r="T24" s="233">
        <f t="shared" si="2"/>
        <v>4600000</v>
      </c>
      <c r="U24" s="233">
        <f t="shared" si="2"/>
        <v>4700000</v>
      </c>
      <c r="V24" s="233">
        <f t="shared" si="2"/>
        <v>4800000</v>
      </c>
      <c r="W24" s="233">
        <f t="shared" si="2"/>
        <v>4900000</v>
      </c>
      <c r="X24" s="233">
        <f t="shared" si="2"/>
        <v>5000000</v>
      </c>
      <c r="Y24" s="233">
        <f t="shared" si="2"/>
        <v>5100000</v>
      </c>
      <c r="Z24" s="233">
        <f t="shared" si="2"/>
        <v>5200000</v>
      </c>
      <c r="AA24" s="233">
        <f t="shared" si="2"/>
        <v>5300000</v>
      </c>
      <c r="AB24" s="233">
        <f t="shared" si="2"/>
        <v>5400000</v>
      </c>
      <c r="AC24" s="233">
        <f t="shared" si="2"/>
        <v>5500000</v>
      </c>
      <c r="AD24" s="233">
        <f t="shared" si="2"/>
        <v>5600000</v>
      </c>
      <c r="AE24" s="233">
        <f t="shared" si="2"/>
        <v>5700000</v>
      </c>
      <c r="AF24" s="233">
        <f t="shared" si="2"/>
        <v>5800000</v>
      </c>
      <c r="AG24" s="233">
        <f t="shared" si="2"/>
        <v>5900000</v>
      </c>
      <c r="AH24" s="233">
        <f t="shared" si="2"/>
        <v>6000000</v>
      </c>
      <c r="AI24" s="233">
        <f t="shared" si="2"/>
        <v>6100000</v>
      </c>
      <c r="AJ24" s="233">
        <f t="shared" si="2"/>
        <v>6200000</v>
      </c>
      <c r="AK24" s="233">
        <f t="shared" si="2"/>
        <v>6300000</v>
      </c>
      <c r="AL24" s="233">
        <f t="shared" si="2"/>
        <v>6400000</v>
      </c>
    </row>
    <row r="25" spans="1:38" ht="15.75" thickBot="1"/>
    <row r="26" spans="1:38">
      <c r="B26" s="274" t="s">
        <v>393</v>
      </c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6"/>
    </row>
    <row r="27" spans="1:38" ht="15.75" thickBot="1">
      <c r="A27" s="193" t="s">
        <v>392</v>
      </c>
      <c r="B27" s="203">
        <v>700</v>
      </c>
      <c r="C27" s="204">
        <v>725</v>
      </c>
      <c r="D27" s="204">
        <v>750</v>
      </c>
      <c r="E27" s="204">
        <v>775</v>
      </c>
      <c r="F27" s="204">
        <v>800</v>
      </c>
      <c r="G27" s="204">
        <v>825</v>
      </c>
      <c r="H27" s="204">
        <v>850</v>
      </c>
      <c r="I27" s="204">
        <v>875</v>
      </c>
      <c r="J27" s="204">
        <v>900</v>
      </c>
      <c r="K27" s="204">
        <v>925</v>
      </c>
      <c r="L27" s="204">
        <v>950</v>
      </c>
      <c r="M27" s="204">
        <v>975</v>
      </c>
      <c r="N27" s="205">
        <v>1000</v>
      </c>
    </row>
    <row r="28" spans="1:38">
      <c r="A28" s="193">
        <v>500</v>
      </c>
      <c r="B28" s="214">
        <f>B10/50000</f>
        <v>7</v>
      </c>
      <c r="C28" s="215">
        <f t="shared" ref="C28:N28" si="3">C10/50000</f>
        <v>7.25</v>
      </c>
      <c r="D28" s="215">
        <f t="shared" si="3"/>
        <v>7.5</v>
      </c>
      <c r="E28" s="215">
        <f t="shared" si="3"/>
        <v>7.75</v>
      </c>
      <c r="F28" s="215">
        <f t="shared" si="3"/>
        <v>8</v>
      </c>
      <c r="G28" s="215">
        <f t="shared" si="3"/>
        <v>8.25</v>
      </c>
      <c r="H28" s="215">
        <f t="shared" si="3"/>
        <v>8.5</v>
      </c>
      <c r="I28" s="215">
        <f t="shared" si="3"/>
        <v>8.75</v>
      </c>
      <c r="J28" s="215">
        <f t="shared" si="3"/>
        <v>9</v>
      </c>
      <c r="K28" s="215">
        <f t="shared" si="3"/>
        <v>9.25</v>
      </c>
      <c r="L28" s="215">
        <f t="shared" si="3"/>
        <v>9.5</v>
      </c>
      <c r="M28" s="215">
        <f t="shared" si="3"/>
        <v>9.75</v>
      </c>
      <c r="N28" s="216">
        <f t="shared" si="3"/>
        <v>10</v>
      </c>
      <c r="O28" s="216">
        <f t="shared" ref="O28:AL28" si="4">O10/50000</f>
        <v>10.25</v>
      </c>
      <c r="P28" s="216">
        <f t="shared" si="4"/>
        <v>10.5</v>
      </c>
      <c r="Q28" s="216">
        <f t="shared" si="4"/>
        <v>10.75</v>
      </c>
      <c r="R28" s="216">
        <f t="shared" si="4"/>
        <v>11</v>
      </c>
      <c r="S28" s="216">
        <f t="shared" si="4"/>
        <v>11.25</v>
      </c>
      <c r="T28" s="216">
        <f t="shared" si="4"/>
        <v>11.5</v>
      </c>
      <c r="U28" s="216">
        <f t="shared" si="4"/>
        <v>11.75</v>
      </c>
      <c r="V28" s="216">
        <f t="shared" si="4"/>
        <v>12</v>
      </c>
      <c r="W28" s="216">
        <f t="shared" si="4"/>
        <v>12.25</v>
      </c>
      <c r="X28" s="216">
        <f t="shared" si="4"/>
        <v>12.5</v>
      </c>
      <c r="Y28" s="216">
        <f t="shared" si="4"/>
        <v>12.75</v>
      </c>
      <c r="Z28" s="216">
        <f t="shared" si="4"/>
        <v>13</v>
      </c>
      <c r="AA28" s="216">
        <f t="shared" si="4"/>
        <v>13.25</v>
      </c>
      <c r="AB28" s="216">
        <f t="shared" si="4"/>
        <v>13.5</v>
      </c>
      <c r="AC28" s="216">
        <f t="shared" si="4"/>
        <v>13.75</v>
      </c>
      <c r="AD28" s="216">
        <f t="shared" si="4"/>
        <v>14</v>
      </c>
      <c r="AE28" s="216">
        <f t="shared" si="4"/>
        <v>14.25</v>
      </c>
      <c r="AF28" s="216">
        <f t="shared" si="4"/>
        <v>14.5</v>
      </c>
      <c r="AG28" s="216">
        <f t="shared" si="4"/>
        <v>14.75</v>
      </c>
      <c r="AH28" s="216">
        <f t="shared" si="4"/>
        <v>15</v>
      </c>
      <c r="AI28" s="216">
        <f t="shared" si="4"/>
        <v>15.25</v>
      </c>
      <c r="AJ28" s="216">
        <f t="shared" si="4"/>
        <v>15.5</v>
      </c>
      <c r="AK28" s="216">
        <f t="shared" si="4"/>
        <v>15.75</v>
      </c>
      <c r="AL28" s="216">
        <f t="shared" si="4"/>
        <v>16</v>
      </c>
    </row>
    <row r="29" spans="1:38">
      <c r="A29" s="193">
        <v>750</v>
      </c>
      <c r="B29" s="217">
        <f t="shared" ref="B29:N42" si="5">B11/50000</f>
        <v>10.5</v>
      </c>
      <c r="C29" s="208">
        <f t="shared" si="5"/>
        <v>10.875</v>
      </c>
      <c r="D29" s="208">
        <f t="shared" si="5"/>
        <v>11.25</v>
      </c>
      <c r="E29" s="208">
        <f t="shared" si="5"/>
        <v>11.625</v>
      </c>
      <c r="F29" s="208">
        <f t="shared" si="5"/>
        <v>12</v>
      </c>
      <c r="G29" s="208">
        <f t="shared" si="5"/>
        <v>12.375</v>
      </c>
      <c r="H29" s="208">
        <f t="shared" si="5"/>
        <v>12.75</v>
      </c>
      <c r="I29" s="208">
        <f t="shared" si="5"/>
        <v>13.125</v>
      </c>
      <c r="J29" s="208">
        <f t="shared" si="5"/>
        <v>13.5</v>
      </c>
      <c r="K29" s="208">
        <f t="shared" si="5"/>
        <v>13.875</v>
      </c>
      <c r="L29" s="208">
        <f t="shared" si="5"/>
        <v>14.25</v>
      </c>
      <c r="M29" s="208">
        <f t="shared" si="5"/>
        <v>14.625</v>
      </c>
      <c r="N29" s="218">
        <f t="shared" si="5"/>
        <v>15</v>
      </c>
      <c r="O29" s="218">
        <f t="shared" ref="O29:AL29" si="6">O11/50000</f>
        <v>15.375</v>
      </c>
      <c r="P29" s="218">
        <f t="shared" si="6"/>
        <v>15.75</v>
      </c>
      <c r="Q29" s="218">
        <f t="shared" si="6"/>
        <v>16.125</v>
      </c>
      <c r="R29" s="218">
        <f t="shared" si="6"/>
        <v>16.5</v>
      </c>
      <c r="S29" s="218">
        <f t="shared" si="6"/>
        <v>16.875</v>
      </c>
      <c r="T29" s="218">
        <f t="shared" si="6"/>
        <v>17.25</v>
      </c>
      <c r="U29" s="218">
        <f t="shared" si="6"/>
        <v>17.625</v>
      </c>
      <c r="V29" s="218">
        <f t="shared" si="6"/>
        <v>18</v>
      </c>
      <c r="W29" s="218">
        <f t="shared" si="6"/>
        <v>18.375</v>
      </c>
      <c r="X29" s="218">
        <f t="shared" si="6"/>
        <v>18.75</v>
      </c>
      <c r="Y29" s="218">
        <f t="shared" si="6"/>
        <v>19.125</v>
      </c>
      <c r="Z29" s="218">
        <f t="shared" si="6"/>
        <v>19.5</v>
      </c>
      <c r="AA29" s="218">
        <f t="shared" si="6"/>
        <v>19.875</v>
      </c>
      <c r="AB29" s="218">
        <f t="shared" si="6"/>
        <v>20.25</v>
      </c>
      <c r="AC29" s="218">
        <f t="shared" si="6"/>
        <v>20.625</v>
      </c>
      <c r="AD29" s="218">
        <f t="shared" si="6"/>
        <v>21</v>
      </c>
      <c r="AE29" s="218">
        <f t="shared" si="6"/>
        <v>21.375</v>
      </c>
      <c r="AF29" s="218">
        <f t="shared" si="6"/>
        <v>21.75</v>
      </c>
      <c r="AG29" s="218">
        <f t="shared" si="6"/>
        <v>22.125</v>
      </c>
      <c r="AH29" s="218">
        <f t="shared" si="6"/>
        <v>22.5</v>
      </c>
      <c r="AI29" s="218">
        <f t="shared" si="6"/>
        <v>22.875</v>
      </c>
      <c r="AJ29" s="218">
        <f t="shared" si="6"/>
        <v>23.25</v>
      </c>
      <c r="AK29" s="218">
        <f t="shared" si="6"/>
        <v>23.625</v>
      </c>
      <c r="AL29" s="218">
        <f t="shared" si="6"/>
        <v>24</v>
      </c>
    </row>
    <row r="30" spans="1:38">
      <c r="A30" s="193">
        <v>1000</v>
      </c>
      <c r="B30" s="217">
        <f t="shared" si="5"/>
        <v>14</v>
      </c>
      <c r="C30" s="208">
        <f t="shared" si="5"/>
        <v>14.5</v>
      </c>
      <c r="D30" s="208">
        <f t="shared" si="5"/>
        <v>15</v>
      </c>
      <c r="E30" s="210">
        <f t="shared" si="5"/>
        <v>15.5</v>
      </c>
      <c r="F30" s="210">
        <f t="shared" si="5"/>
        <v>16</v>
      </c>
      <c r="G30" s="210">
        <f t="shared" si="5"/>
        <v>16.5</v>
      </c>
      <c r="H30" s="210">
        <f t="shared" si="5"/>
        <v>17</v>
      </c>
      <c r="I30" s="210">
        <f t="shared" si="5"/>
        <v>17.5</v>
      </c>
      <c r="J30" s="210">
        <f t="shared" si="5"/>
        <v>18</v>
      </c>
      <c r="K30" s="210">
        <f t="shared" si="5"/>
        <v>18.5</v>
      </c>
      <c r="L30" s="210">
        <f t="shared" si="5"/>
        <v>19</v>
      </c>
      <c r="M30" s="210">
        <f t="shared" si="5"/>
        <v>19.5</v>
      </c>
      <c r="N30" s="219">
        <f t="shared" si="5"/>
        <v>20</v>
      </c>
      <c r="O30" s="219">
        <f t="shared" ref="O30:AL30" si="7">O12/50000</f>
        <v>20.5</v>
      </c>
      <c r="P30" s="219">
        <f t="shared" si="7"/>
        <v>21</v>
      </c>
      <c r="Q30" s="219">
        <f t="shared" si="7"/>
        <v>21.5</v>
      </c>
      <c r="R30" s="219">
        <f t="shared" si="7"/>
        <v>22</v>
      </c>
      <c r="S30" s="219">
        <f t="shared" si="7"/>
        <v>22.5</v>
      </c>
      <c r="T30" s="219">
        <f t="shared" si="7"/>
        <v>23</v>
      </c>
      <c r="U30" s="219">
        <f t="shared" si="7"/>
        <v>23.5</v>
      </c>
      <c r="V30" s="219">
        <f t="shared" si="7"/>
        <v>24</v>
      </c>
      <c r="W30" s="219">
        <f t="shared" si="7"/>
        <v>24.5</v>
      </c>
      <c r="X30" s="219">
        <f t="shared" si="7"/>
        <v>25</v>
      </c>
      <c r="Y30" s="219">
        <f t="shared" si="7"/>
        <v>25.5</v>
      </c>
      <c r="Z30" s="219">
        <f t="shared" si="7"/>
        <v>26</v>
      </c>
      <c r="AA30" s="219">
        <f t="shared" si="7"/>
        <v>26.5</v>
      </c>
      <c r="AB30" s="219">
        <f t="shared" si="7"/>
        <v>27</v>
      </c>
      <c r="AC30" s="219">
        <f t="shared" si="7"/>
        <v>27.5</v>
      </c>
      <c r="AD30" s="219">
        <f t="shared" si="7"/>
        <v>28</v>
      </c>
      <c r="AE30" s="219">
        <f t="shared" si="7"/>
        <v>28.5</v>
      </c>
      <c r="AF30" s="219">
        <f t="shared" si="7"/>
        <v>29</v>
      </c>
      <c r="AG30" s="219">
        <f t="shared" si="7"/>
        <v>29.5</v>
      </c>
      <c r="AH30" s="219">
        <f t="shared" si="7"/>
        <v>30</v>
      </c>
      <c r="AI30" s="219">
        <f t="shared" si="7"/>
        <v>30.5</v>
      </c>
      <c r="AJ30" s="219">
        <f t="shared" si="7"/>
        <v>31</v>
      </c>
      <c r="AK30" s="219">
        <f t="shared" si="7"/>
        <v>31.5</v>
      </c>
      <c r="AL30" s="219">
        <f t="shared" si="7"/>
        <v>32</v>
      </c>
    </row>
    <row r="31" spans="1:38">
      <c r="A31" s="193">
        <v>1250</v>
      </c>
      <c r="B31" s="220">
        <f t="shared" si="5"/>
        <v>17.5</v>
      </c>
      <c r="C31" s="210">
        <f t="shared" si="5"/>
        <v>18.125</v>
      </c>
      <c r="D31" s="210">
        <f t="shared" si="5"/>
        <v>18.75</v>
      </c>
      <c r="E31" s="210">
        <f t="shared" si="5"/>
        <v>19.375</v>
      </c>
      <c r="F31" s="210">
        <f t="shared" si="5"/>
        <v>20</v>
      </c>
      <c r="G31" s="207">
        <f t="shared" si="5"/>
        <v>20.625</v>
      </c>
      <c r="H31" s="207">
        <f t="shared" si="5"/>
        <v>21.25</v>
      </c>
      <c r="I31" s="207">
        <f t="shared" si="5"/>
        <v>21.875</v>
      </c>
      <c r="J31" s="207">
        <f t="shared" si="5"/>
        <v>22.5</v>
      </c>
      <c r="K31" s="207">
        <f t="shared" si="5"/>
        <v>23.125</v>
      </c>
      <c r="L31" s="207">
        <f t="shared" si="5"/>
        <v>23.75</v>
      </c>
      <c r="M31" s="207">
        <f t="shared" si="5"/>
        <v>24.375</v>
      </c>
      <c r="N31" s="221">
        <f t="shared" si="5"/>
        <v>25</v>
      </c>
      <c r="O31" s="221">
        <f t="shared" ref="O31:AL31" si="8">O13/50000</f>
        <v>25.625</v>
      </c>
      <c r="P31" s="221">
        <f t="shared" si="8"/>
        <v>26.25</v>
      </c>
      <c r="Q31" s="221">
        <f t="shared" si="8"/>
        <v>26.875</v>
      </c>
      <c r="R31" s="221">
        <f t="shared" si="8"/>
        <v>27.5</v>
      </c>
      <c r="S31" s="221">
        <f t="shared" si="8"/>
        <v>28.125</v>
      </c>
      <c r="T31" s="221">
        <f t="shared" si="8"/>
        <v>28.75</v>
      </c>
      <c r="U31" s="221">
        <f t="shared" si="8"/>
        <v>29.375</v>
      </c>
      <c r="V31" s="221">
        <f t="shared" si="8"/>
        <v>30</v>
      </c>
      <c r="W31" s="221">
        <f t="shared" si="8"/>
        <v>30.625</v>
      </c>
      <c r="X31" s="221">
        <f t="shared" si="8"/>
        <v>31.25</v>
      </c>
      <c r="Y31" s="221">
        <f t="shared" si="8"/>
        <v>31.875</v>
      </c>
      <c r="Z31" s="221">
        <f t="shared" si="8"/>
        <v>32.5</v>
      </c>
      <c r="AA31" s="221">
        <f t="shared" si="8"/>
        <v>33.125</v>
      </c>
      <c r="AB31" s="221">
        <f t="shared" si="8"/>
        <v>33.75</v>
      </c>
      <c r="AC31" s="221">
        <f t="shared" si="8"/>
        <v>34.375</v>
      </c>
      <c r="AD31" s="221">
        <f t="shared" si="8"/>
        <v>35</v>
      </c>
      <c r="AE31" s="221">
        <f t="shared" si="8"/>
        <v>35.625</v>
      </c>
      <c r="AF31" s="221">
        <f t="shared" si="8"/>
        <v>36.25</v>
      </c>
      <c r="AG31" s="221">
        <f t="shared" si="8"/>
        <v>36.875</v>
      </c>
      <c r="AH31" s="221">
        <f t="shared" si="8"/>
        <v>37.5</v>
      </c>
      <c r="AI31" s="221">
        <f t="shared" si="8"/>
        <v>38.125</v>
      </c>
      <c r="AJ31" s="221">
        <f t="shared" si="8"/>
        <v>38.75</v>
      </c>
      <c r="AK31" s="221">
        <f t="shared" si="8"/>
        <v>39.375</v>
      </c>
      <c r="AL31" s="221">
        <f t="shared" si="8"/>
        <v>40</v>
      </c>
    </row>
    <row r="32" spans="1:38">
      <c r="A32" s="193">
        <v>1500</v>
      </c>
      <c r="B32" s="222">
        <f t="shared" si="5"/>
        <v>21</v>
      </c>
      <c r="C32" s="207">
        <f t="shared" si="5"/>
        <v>21.75</v>
      </c>
      <c r="D32" s="207">
        <f t="shared" si="5"/>
        <v>22.5</v>
      </c>
      <c r="E32" s="207">
        <f t="shared" si="5"/>
        <v>23.25</v>
      </c>
      <c r="F32" s="207">
        <f t="shared" si="5"/>
        <v>24</v>
      </c>
      <c r="G32" s="207">
        <f t="shared" si="5"/>
        <v>24.75</v>
      </c>
      <c r="H32" s="211">
        <f t="shared" si="5"/>
        <v>25.5</v>
      </c>
      <c r="I32" s="211">
        <f t="shared" si="5"/>
        <v>26.25</v>
      </c>
      <c r="J32" s="211">
        <f t="shared" si="5"/>
        <v>27</v>
      </c>
      <c r="K32" s="211">
        <f t="shared" si="5"/>
        <v>27.75</v>
      </c>
      <c r="L32" s="211">
        <f t="shared" si="5"/>
        <v>28.5</v>
      </c>
      <c r="M32" s="211">
        <f t="shared" si="5"/>
        <v>29.25</v>
      </c>
      <c r="N32" s="223">
        <f t="shared" si="5"/>
        <v>30</v>
      </c>
      <c r="O32" s="223">
        <f t="shared" ref="O32:AL32" si="9">O14/50000</f>
        <v>30.75</v>
      </c>
      <c r="P32" s="223">
        <f t="shared" si="9"/>
        <v>31.5</v>
      </c>
      <c r="Q32" s="223">
        <f t="shared" si="9"/>
        <v>32.25</v>
      </c>
      <c r="R32" s="223">
        <f t="shared" si="9"/>
        <v>33</v>
      </c>
      <c r="S32" s="223">
        <f t="shared" si="9"/>
        <v>33.75</v>
      </c>
      <c r="T32" s="223">
        <f t="shared" si="9"/>
        <v>34.5</v>
      </c>
      <c r="U32" s="223">
        <f t="shared" si="9"/>
        <v>35.25</v>
      </c>
      <c r="V32" s="223">
        <f t="shared" si="9"/>
        <v>36</v>
      </c>
      <c r="W32" s="223">
        <f t="shared" si="9"/>
        <v>36.75</v>
      </c>
      <c r="X32" s="223">
        <f t="shared" si="9"/>
        <v>37.5</v>
      </c>
      <c r="Y32" s="223">
        <f t="shared" si="9"/>
        <v>38.25</v>
      </c>
      <c r="Z32" s="223">
        <f t="shared" si="9"/>
        <v>39</v>
      </c>
      <c r="AA32" s="223">
        <f t="shared" si="9"/>
        <v>39.75</v>
      </c>
      <c r="AB32" s="223">
        <f t="shared" si="9"/>
        <v>40.5</v>
      </c>
      <c r="AC32" s="223">
        <f t="shared" si="9"/>
        <v>41.25</v>
      </c>
      <c r="AD32" s="223">
        <f t="shared" si="9"/>
        <v>42</v>
      </c>
      <c r="AE32" s="223">
        <f t="shared" si="9"/>
        <v>42.75</v>
      </c>
      <c r="AF32" s="223">
        <f t="shared" si="9"/>
        <v>43.5</v>
      </c>
      <c r="AG32" s="223">
        <f t="shared" si="9"/>
        <v>44.25</v>
      </c>
      <c r="AH32" s="223">
        <f t="shared" si="9"/>
        <v>45</v>
      </c>
      <c r="AI32" s="223">
        <f t="shared" si="9"/>
        <v>45.75</v>
      </c>
      <c r="AJ32" s="223">
        <f t="shared" si="9"/>
        <v>46.5</v>
      </c>
      <c r="AK32" s="223">
        <f t="shared" si="9"/>
        <v>47.25</v>
      </c>
      <c r="AL32" s="223">
        <f t="shared" si="9"/>
        <v>48</v>
      </c>
    </row>
    <row r="33" spans="1:38">
      <c r="A33" s="193">
        <v>1750</v>
      </c>
      <c r="B33" s="222">
        <f t="shared" si="5"/>
        <v>24.5</v>
      </c>
      <c r="C33" s="211">
        <f t="shared" si="5"/>
        <v>25.375</v>
      </c>
      <c r="D33" s="211">
        <f t="shared" si="5"/>
        <v>26.25</v>
      </c>
      <c r="E33" s="211">
        <f t="shared" si="5"/>
        <v>27.125</v>
      </c>
      <c r="F33" s="211">
        <f t="shared" si="5"/>
        <v>28</v>
      </c>
      <c r="G33" s="211">
        <f t="shared" si="5"/>
        <v>28.875</v>
      </c>
      <c r="H33" s="211">
        <f t="shared" si="5"/>
        <v>29.75</v>
      </c>
      <c r="I33" s="213">
        <f t="shared" si="5"/>
        <v>30.625</v>
      </c>
      <c r="J33" s="213">
        <f t="shared" si="5"/>
        <v>31.5</v>
      </c>
      <c r="K33" s="213">
        <f t="shared" si="5"/>
        <v>32.375</v>
      </c>
      <c r="L33" s="213">
        <f t="shared" si="5"/>
        <v>33.25</v>
      </c>
      <c r="M33" s="213">
        <f t="shared" si="5"/>
        <v>34.125</v>
      </c>
      <c r="N33" s="224">
        <f t="shared" si="5"/>
        <v>35</v>
      </c>
      <c r="O33" s="224">
        <f t="shared" ref="O33:AL33" si="10">O15/50000</f>
        <v>35.875</v>
      </c>
      <c r="P33" s="224">
        <f t="shared" si="10"/>
        <v>36.75</v>
      </c>
      <c r="Q33" s="224">
        <f t="shared" si="10"/>
        <v>37.625</v>
      </c>
      <c r="R33" s="224">
        <f t="shared" si="10"/>
        <v>38.5</v>
      </c>
      <c r="S33" s="224">
        <f t="shared" si="10"/>
        <v>39.375</v>
      </c>
      <c r="T33" s="224">
        <f t="shared" si="10"/>
        <v>40.25</v>
      </c>
      <c r="U33" s="224">
        <f t="shared" si="10"/>
        <v>41.125</v>
      </c>
      <c r="V33" s="224">
        <f t="shared" si="10"/>
        <v>42</v>
      </c>
      <c r="W33" s="224">
        <f t="shared" si="10"/>
        <v>42.875</v>
      </c>
      <c r="X33" s="224">
        <f t="shared" si="10"/>
        <v>43.75</v>
      </c>
      <c r="Y33" s="224">
        <f t="shared" si="10"/>
        <v>44.625</v>
      </c>
      <c r="Z33" s="224">
        <f t="shared" si="10"/>
        <v>45.5</v>
      </c>
      <c r="AA33" s="224">
        <f t="shared" si="10"/>
        <v>46.375</v>
      </c>
      <c r="AB33" s="224">
        <f t="shared" si="10"/>
        <v>47.25</v>
      </c>
      <c r="AC33" s="224">
        <f t="shared" si="10"/>
        <v>48.125</v>
      </c>
      <c r="AD33" s="224">
        <f t="shared" si="10"/>
        <v>49</v>
      </c>
      <c r="AE33" s="224">
        <f t="shared" si="10"/>
        <v>49.875</v>
      </c>
      <c r="AF33" s="224">
        <f t="shared" si="10"/>
        <v>50.75</v>
      </c>
      <c r="AG33" s="224">
        <f t="shared" si="10"/>
        <v>51.625</v>
      </c>
      <c r="AH33" s="224">
        <f t="shared" si="10"/>
        <v>52.5</v>
      </c>
      <c r="AI33" s="224">
        <f t="shared" si="10"/>
        <v>53.375</v>
      </c>
      <c r="AJ33" s="224">
        <f t="shared" si="10"/>
        <v>54.25</v>
      </c>
      <c r="AK33" s="224">
        <f t="shared" si="10"/>
        <v>55.125</v>
      </c>
      <c r="AL33" s="224">
        <f t="shared" si="10"/>
        <v>56</v>
      </c>
    </row>
    <row r="34" spans="1:38">
      <c r="A34" s="193">
        <v>2000</v>
      </c>
      <c r="B34" s="225">
        <f t="shared" si="5"/>
        <v>28</v>
      </c>
      <c r="C34" s="211">
        <f t="shared" si="5"/>
        <v>29</v>
      </c>
      <c r="D34" s="213">
        <f t="shared" si="5"/>
        <v>30</v>
      </c>
      <c r="E34" s="213">
        <f t="shared" si="5"/>
        <v>31</v>
      </c>
      <c r="F34" s="213">
        <f t="shared" si="5"/>
        <v>32</v>
      </c>
      <c r="G34" s="213">
        <f t="shared" si="5"/>
        <v>33</v>
      </c>
      <c r="H34" s="213">
        <f t="shared" si="5"/>
        <v>34</v>
      </c>
      <c r="I34" s="213">
        <f t="shared" si="5"/>
        <v>35</v>
      </c>
      <c r="J34" s="213">
        <f t="shared" si="5"/>
        <v>36</v>
      </c>
      <c r="K34" s="213">
        <f t="shared" si="5"/>
        <v>37</v>
      </c>
      <c r="L34" s="213">
        <f t="shared" si="5"/>
        <v>38</v>
      </c>
      <c r="M34" s="213">
        <f t="shared" si="5"/>
        <v>39</v>
      </c>
      <c r="N34" s="224">
        <f t="shared" si="5"/>
        <v>40</v>
      </c>
      <c r="O34" s="224">
        <f t="shared" ref="O34:AL34" si="11">O16/50000</f>
        <v>41</v>
      </c>
      <c r="P34" s="224">
        <f t="shared" si="11"/>
        <v>42</v>
      </c>
      <c r="Q34" s="224">
        <f t="shared" si="11"/>
        <v>43</v>
      </c>
      <c r="R34" s="224">
        <f t="shared" si="11"/>
        <v>44</v>
      </c>
      <c r="S34" s="224">
        <f t="shared" si="11"/>
        <v>45</v>
      </c>
      <c r="T34" s="224">
        <f t="shared" si="11"/>
        <v>46</v>
      </c>
      <c r="U34" s="224">
        <f t="shared" si="11"/>
        <v>47</v>
      </c>
      <c r="V34" s="224">
        <f t="shared" si="11"/>
        <v>48</v>
      </c>
      <c r="W34" s="224">
        <f t="shared" si="11"/>
        <v>49</v>
      </c>
      <c r="X34" s="224">
        <f t="shared" si="11"/>
        <v>50</v>
      </c>
      <c r="Y34" s="224">
        <f t="shared" si="11"/>
        <v>51</v>
      </c>
      <c r="Z34" s="224">
        <f t="shared" si="11"/>
        <v>52</v>
      </c>
      <c r="AA34" s="224">
        <f t="shared" si="11"/>
        <v>53</v>
      </c>
      <c r="AB34" s="224">
        <f t="shared" si="11"/>
        <v>54</v>
      </c>
      <c r="AC34" s="224">
        <f t="shared" si="11"/>
        <v>55</v>
      </c>
      <c r="AD34" s="224">
        <f t="shared" si="11"/>
        <v>56</v>
      </c>
      <c r="AE34" s="224">
        <f t="shared" si="11"/>
        <v>57</v>
      </c>
      <c r="AF34" s="224">
        <f t="shared" si="11"/>
        <v>58</v>
      </c>
      <c r="AG34" s="224">
        <f t="shared" si="11"/>
        <v>59</v>
      </c>
      <c r="AH34" s="224">
        <f t="shared" si="11"/>
        <v>60</v>
      </c>
      <c r="AI34" s="224">
        <f t="shared" si="11"/>
        <v>61</v>
      </c>
      <c r="AJ34" s="224">
        <f t="shared" si="11"/>
        <v>62</v>
      </c>
      <c r="AK34" s="224">
        <f t="shared" si="11"/>
        <v>63</v>
      </c>
      <c r="AL34" s="224">
        <f t="shared" si="11"/>
        <v>64</v>
      </c>
    </row>
    <row r="35" spans="1:38">
      <c r="A35" s="193">
        <v>2250</v>
      </c>
      <c r="B35" s="226">
        <f t="shared" si="5"/>
        <v>31.5</v>
      </c>
      <c r="C35" s="213">
        <f t="shared" si="5"/>
        <v>32.625</v>
      </c>
      <c r="D35" s="213">
        <f t="shared" si="5"/>
        <v>33.75</v>
      </c>
      <c r="E35" s="213">
        <f t="shared" si="5"/>
        <v>34.875</v>
      </c>
      <c r="F35" s="213">
        <f t="shared" si="5"/>
        <v>36</v>
      </c>
      <c r="G35" s="213">
        <f t="shared" si="5"/>
        <v>37.125</v>
      </c>
      <c r="H35" s="213">
        <f t="shared" si="5"/>
        <v>38.25</v>
      </c>
      <c r="I35" s="213">
        <f t="shared" si="5"/>
        <v>39.375</v>
      </c>
      <c r="J35" s="213">
        <f t="shared" si="5"/>
        <v>40.5</v>
      </c>
      <c r="K35" s="213">
        <f t="shared" si="5"/>
        <v>41.625</v>
      </c>
      <c r="L35" s="213">
        <f t="shared" si="5"/>
        <v>42.75</v>
      </c>
      <c r="M35" s="213">
        <f t="shared" si="5"/>
        <v>43.875</v>
      </c>
      <c r="N35" s="224">
        <f t="shared" si="5"/>
        <v>45</v>
      </c>
      <c r="O35" s="224">
        <f t="shared" ref="O35:AL35" si="12">O17/50000</f>
        <v>46.125</v>
      </c>
      <c r="P35" s="224">
        <f t="shared" si="12"/>
        <v>47.25</v>
      </c>
      <c r="Q35" s="224">
        <f t="shared" si="12"/>
        <v>48.375</v>
      </c>
      <c r="R35" s="224">
        <f t="shared" si="12"/>
        <v>49.5</v>
      </c>
      <c r="S35" s="224">
        <f t="shared" si="12"/>
        <v>50.625</v>
      </c>
      <c r="T35" s="224">
        <f t="shared" si="12"/>
        <v>51.75</v>
      </c>
      <c r="U35" s="224">
        <f t="shared" si="12"/>
        <v>52.875</v>
      </c>
      <c r="V35" s="224">
        <f t="shared" si="12"/>
        <v>54</v>
      </c>
      <c r="W35" s="224">
        <f t="shared" si="12"/>
        <v>55.125</v>
      </c>
      <c r="X35" s="224">
        <f t="shared" si="12"/>
        <v>56.25</v>
      </c>
      <c r="Y35" s="224">
        <f t="shared" si="12"/>
        <v>57.375</v>
      </c>
      <c r="Z35" s="224">
        <f t="shared" si="12"/>
        <v>58.5</v>
      </c>
      <c r="AA35" s="224">
        <f t="shared" si="12"/>
        <v>59.625</v>
      </c>
      <c r="AB35" s="224">
        <f t="shared" si="12"/>
        <v>60.75</v>
      </c>
      <c r="AC35" s="224">
        <f t="shared" si="12"/>
        <v>61.875</v>
      </c>
      <c r="AD35" s="224">
        <f t="shared" si="12"/>
        <v>63</v>
      </c>
      <c r="AE35" s="224">
        <f t="shared" si="12"/>
        <v>64.125</v>
      </c>
      <c r="AF35" s="224">
        <f t="shared" si="12"/>
        <v>65.25</v>
      </c>
      <c r="AG35" s="224">
        <f t="shared" si="12"/>
        <v>66.375</v>
      </c>
      <c r="AH35" s="224">
        <f t="shared" si="12"/>
        <v>67.5</v>
      </c>
      <c r="AI35" s="224">
        <f t="shared" si="12"/>
        <v>68.625</v>
      </c>
      <c r="AJ35" s="224">
        <f t="shared" si="12"/>
        <v>69.75</v>
      </c>
      <c r="AK35" s="224">
        <f t="shared" si="12"/>
        <v>70.875</v>
      </c>
      <c r="AL35" s="224">
        <f t="shared" si="12"/>
        <v>72</v>
      </c>
    </row>
    <row r="36" spans="1:38">
      <c r="A36" s="193">
        <v>2500</v>
      </c>
      <c r="B36" s="226">
        <f t="shared" si="5"/>
        <v>35</v>
      </c>
      <c r="C36" s="213">
        <f t="shared" si="5"/>
        <v>36.25</v>
      </c>
      <c r="D36" s="213">
        <f t="shared" si="5"/>
        <v>37.5</v>
      </c>
      <c r="E36" s="213">
        <f t="shared" si="5"/>
        <v>38.75</v>
      </c>
      <c r="F36" s="213">
        <f t="shared" si="5"/>
        <v>40</v>
      </c>
      <c r="G36" s="213">
        <f t="shared" si="5"/>
        <v>41.25</v>
      </c>
      <c r="H36" s="213">
        <f t="shared" si="5"/>
        <v>42.5</v>
      </c>
      <c r="I36" s="213">
        <f t="shared" si="5"/>
        <v>43.75</v>
      </c>
      <c r="J36" s="213">
        <f t="shared" si="5"/>
        <v>45</v>
      </c>
      <c r="K36" s="213">
        <f t="shared" si="5"/>
        <v>46.25</v>
      </c>
      <c r="L36" s="213">
        <f t="shared" si="5"/>
        <v>47.5</v>
      </c>
      <c r="M36" s="213">
        <f t="shared" si="5"/>
        <v>48.75</v>
      </c>
      <c r="N36" s="224">
        <f t="shared" si="5"/>
        <v>50</v>
      </c>
      <c r="O36" s="224">
        <f t="shared" ref="O36:AL36" si="13">O18/50000</f>
        <v>51.25</v>
      </c>
      <c r="P36" s="224">
        <f t="shared" si="13"/>
        <v>52.5</v>
      </c>
      <c r="Q36" s="224">
        <f t="shared" si="13"/>
        <v>53.75</v>
      </c>
      <c r="R36" s="224">
        <f t="shared" si="13"/>
        <v>55</v>
      </c>
      <c r="S36" s="224">
        <f t="shared" si="13"/>
        <v>56.25</v>
      </c>
      <c r="T36" s="224">
        <f t="shared" si="13"/>
        <v>57.5</v>
      </c>
      <c r="U36" s="224">
        <f t="shared" si="13"/>
        <v>58.75</v>
      </c>
      <c r="V36" s="224">
        <f t="shared" si="13"/>
        <v>60</v>
      </c>
      <c r="W36" s="224">
        <f t="shared" si="13"/>
        <v>61.25</v>
      </c>
      <c r="X36" s="224">
        <f t="shared" si="13"/>
        <v>62.5</v>
      </c>
      <c r="Y36" s="224">
        <f t="shared" si="13"/>
        <v>63.75</v>
      </c>
      <c r="Z36" s="224">
        <f t="shared" si="13"/>
        <v>65</v>
      </c>
      <c r="AA36" s="224">
        <f t="shared" si="13"/>
        <v>66.25</v>
      </c>
      <c r="AB36" s="224">
        <f t="shared" si="13"/>
        <v>67.5</v>
      </c>
      <c r="AC36" s="224">
        <f t="shared" si="13"/>
        <v>68.75</v>
      </c>
      <c r="AD36" s="224">
        <f t="shared" si="13"/>
        <v>70</v>
      </c>
      <c r="AE36" s="224">
        <f t="shared" si="13"/>
        <v>71.25</v>
      </c>
      <c r="AF36" s="224">
        <f t="shared" si="13"/>
        <v>72.5</v>
      </c>
      <c r="AG36" s="224">
        <f t="shared" si="13"/>
        <v>73.75</v>
      </c>
      <c r="AH36" s="224">
        <f t="shared" si="13"/>
        <v>75</v>
      </c>
      <c r="AI36" s="224">
        <f t="shared" si="13"/>
        <v>76.25</v>
      </c>
      <c r="AJ36" s="224">
        <f t="shared" si="13"/>
        <v>77.5</v>
      </c>
      <c r="AK36" s="224">
        <f t="shared" si="13"/>
        <v>78.75</v>
      </c>
      <c r="AL36" s="224">
        <f t="shared" si="13"/>
        <v>80</v>
      </c>
    </row>
    <row r="37" spans="1:38">
      <c r="A37" s="193">
        <v>2750</v>
      </c>
      <c r="B37" s="226">
        <f t="shared" si="5"/>
        <v>38.5</v>
      </c>
      <c r="C37" s="213">
        <f t="shared" si="5"/>
        <v>39.875</v>
      </c>
      <c r="D37" s="213">
        <f t="shared" si="5"/>
        <v>41.25</v>
      </c>
      <c r="E37" s="213">
        <f t="shared" si="5"/>
        <v>42.625</v>
      </c>
      <c r="F37" s="213">
        <f t="shared" si="5"/>
        <v>44</v>
      </c>
      <c r="G37" s="213">
        <f t="shared" si="5"/>
        <v>45.375</v>
      </c>
      <c r="H37" s="213">
        <f t="shared" si="5"/>
        <v>46.75</v>
      </c>
      <c r="I37" s="213">
        <f t="shared" si="5"/>
        <v>48.125</v>
      </c>
      <c r="J37" s="213">
        <f t="shared" si="5"/>
        <v>49.5</v>
      </c>
      <c r="K37" s="209">
        <f t="shared" si="5"/>
        <v>50.875</v>
      </c>
      <c r="L37" s="209">
        <f t="shared" si="5"/>
        <v>52.25</v>
      </c>
      <c r="M37" s="209">
        <f t="shared" si="5"/>
        <v>53.625</v>
      </c>
      <c r="N37" s="227">
        <f t="shared" si="5"/>
        <v>55</v>
      </c>
      <c r="O37" s="227">
        <f t="shared" ref="O37:AL37" si="14">O19/50000</f>
        <v>56.375</v>
      </c>
      <c r="P37" s="227">
        <f t="shared" si="14"/>
        <v>57.75</v>
      </c>
      <c r="Q37" s="227">
        <f t="shared" si="14"/>
        <v>59.125</v>
      </c>
      <c r="R37" s="227">
        <f t="shared" si="14"/>
        <v>60.5</v>
      </c>
      <c r="S37" s="227">
        <f t="shared" si="14"/>
        <v>61.875</v>
      </c>
      <c r="T37" s="227">
        <f t="shared" si="14"/>
        <v>63.25</v>
      </c>
      <c r="U37" s="227">
        <f t="shared" si="14"/>
        <v>64.625</v>
      </c>
      <c r="V37" s="227">
        <f t="shared" si="14"/>
        <v>66</v>
      </c>
      <c r="W37" s="227">
        <f t="shared" si="14"/>
        <v>67.375</v>
      </c>
      <c r="X37" s="227">
        <f t="shared" si="14"/>
        <v>68.75</v>
      </c>
      <c r="Y37" s="227">
        <f t="shared" si="14"/>
        <v>70.125</v>
      </c>
      <c r="Z37" s="227">
        <f t="shared" si="14"/>
        <v>71.5</v>
      </c>
      <c r="AA37" s="227">
        <f t="shared" si="14"/>
        <v>72.875</v>
      </c>
      <c r="AB37" s="227">
        <f t="shared" si="14"/>
        <v>74.25</v>
      </c>
      <c r="AC37" s="227">
        <f t="shared" si="14"/>
        <v>75.625</v>
      </c>
      <c r="AD37" s="227">
        <f t="shared" si="14"/>
        <v>77</v>
      </c>
      <c r="AE37" s="227">
        <f t="shared" si="14"/>
        <v>78.375</v>
      </c>
      <c r="AF37" s="227">
        <f t="shared" si="14"/>
        <v>79.75</v>
      </c>
      <c r="AG37" s="227">
        <f t="shared" si="14"/>
        <v>81.125</v>
      </c>
      <c r="AH37" s="227">
        <f t="shared" si="14"/>
        <v>82.5</v>
      </c>
      <c r="AI37" s="227">
        <f t="shared" si="14"/>
        <v>83.875</v>
      </c>
      <c r="AJ37" s="227">
        <f t="shared" si="14"/>
        <v>85.25</v>
      </c>
      <c r="AK37" s="227">
        <f t="shared" si="14"/>
        <v>86.625</v>
      </c>
      <c r="AL37" s="227">
        <f t="shared" si="14"/>
        <v>88</v>
      </c>
    </row>
    <row r="38" spans="1:38">
      <c r="A38" s="193">
        <v>3000</v>
      </c>
      <c r="B38" s="226">
        <f t="shared" si="5"/>
        <v>42</v>
      </c>
      <c r="C38" s="213">
        <f t="shared" si="5"/>
        <v>43.5</v>
      </c>
      <c r="D38" s="213">
        <f t="shared" si="5"/>
        <v>45</v>
      </c>
      <c r="E38" s="213">
        <f t="shared" si="5"/>
        <v>46.5</v>
      </c>
      <c r="F38" s="213">
        <f t="shared" si="5"/>
        <v>48</v>
      </c>
      <c r="G38" s="213">
        <f t="shared" si="5"/>
        <v>49.5</v>
      </c>
      <c r="H38" s="209">
        <f t="shared" si="5"/>
        <v>51</v>
      </c>
      <c r="I38" s="209">
        <f t="shared" si="5"/>
        <v>52.5</v>
      </c>
      <c r="J38" s="209">
        <f t="shared" si="5"/>
        <v>54</v>
      </c>
      <c r="K38" s="209">
        <f t="shared" si="5"/>
        <v>55.5</v>
      </c>
      <c r="L38" s="209">
        <f t="shared" si="5"/>
        <v>57</v>
      </c>
      <c r="M38" s="209">
        <f t="shared" si="5"/>
        <v>58.5</v>
      </c>
      <c r="N38" s="227">
        <f t="shared" si="5"/>
        <v>60</v>
      </c>
      <c r="O38" s="227">
        <f t="shared" ref="O38:AL38" si="15">O20/50000</f>
        <v>61.5</v>
      </c>
      <c r="P38" s="227">
        <f t="shared" si="15"/>
        <v>63</v>
      </c>
      <c r="Q38" s="227">
        <f t="shared" si="15"/>
        <v>64.5</v>
      </c>
      <c r="R38" s="227">
        <f t="shared" si="15"/>
        <v>66</v>
      </c>
      <c r="S38" s="227">
        <f t="shared" si="15"/>
        <v>67.5</v>
      </c>
      <c r="T38" s="227">
        <f t="shared" si="15"/>
        <v>69</v>
      </c>
      <c r="U38" s="227">
        <f t="shared" si="15"/>
        <v>70.5</v>
      </c>
      <c r="V38" s="227">
        <f t="shared" si="15"/>
        <v>72</v>
      </c>
      <c r="W38" s="227">
        <f t="shared" si="15"/>
        <v>73.5</v>
      </c>
      <c r="X38" s="227">
        <f t="shared" si="15"/>
        <v>75</v>
      </c>
      <c r="Y38" s="227">
        <f t="shared" si="15"/>
        <v>76.5</v>
      </c>
      <c r="Z38" s="227">
        <f t="shared" si="15"/>
        <v>78</v>
      </c>
      <c r="AA38" s="227">
        <f t="shared" si="15"/>
        <v>79.5</v>
      </c>
      <c r="AB38" s="227">
        <f t="shared" si="15"/>
        <v>81</v>
      </c>
      <c r="AC38" s="227">
        <f t="shared" si="15"/>
        <v>82.5</v>
      </c>
      <c r="AD38" s="227">
        <f t="shared" si="15"/>
        <v>84</v>
      </c>
      <c r="AE38" s="227">
        <f t="shared" si="15"/>
        <v>85.5</v>
      </c>
      <c r="AF38" s="227">
        <f t="shared" si="15"/>
        <v>87</v>
      </c>
      <c r="AG38" s="227">
        <f t="shared" si="15"/>
        <v>88.5</v>
      </c>
      <c r="AH38" s="227">
        <f t="shared" si="15"/>
        <v>90</v>
      </c>
      <c r="AI38" s="227">
        <f t="shared" si="15"/>
        <v>91.5</v>
      </c>
      <c r="AJ38" s="227">
        <f t="shared" si="15"/>
        <v>93</v>
      </c>
      <c r="AK38" s="227">
        <f t="shared" si="15"/>
        <v>94.5</v>
      </c>
      <c r="AL38" s="227">
        <f t="shared" si="15"/>
        <v>96</v>
      </c>
    </row>
    <row r="39" spans="1:38">
      <c r="A39" s="193">
        <v>3250</v>
      </c>
      <c r="B39" s="226">
        <f t="shared" si="5"/>
        <v>45.5</v>
      </c>
      <c r="C39" s="213">
        <f t="shared" si="5"/>
        <v>47.125</v>
      </c>
      <c r="D39" s="213">
        <f t="shared" si="5"/>
        <v>48.75</v>
      </c>
      <c r="E39" s="209">
        <f t="shared" si="5"/>
        <v>50.375</v>
      </c>
      <c r="F39" s="209">
        <f t="shared" si="5"/>
        <v>52</v>
      </c>
      <c r="G39" s="209">
        <f t="shared" si="5"/>
        <v>53.625</v>
      </c>
      <c r="H39" s="209">
        <f t="shared" si="5"/>
        <v>55.25</v>
      </c>
      <c r="I39" s="209">
        <f t="shared" si="5"/>
        <v>56.875</v>
      </c>
      <c r="J39" s="209">
        <f t="shared" si="5"/>
        <v>58.5</v>
      </c>
      <c r="K39" s="209">
        <f t="shared" si="5"/>
        <v>60.125</v>
      </c>
      <c r="L39" s="209">
        <f t="shared" si="5"/>
        <v>61.75</v>
      </c>
      <c r="M39" s="209">
        <f t="shared" si="5"/>
        <v>63.375</v>
      </c>
      <c r="N39" s="227">
        <f t="shared" si="5"/>
        <v>65</v>
      </c>
      <c r="O39" s="227">
        <f t="shared" ref="O39:AL39" si="16">O21/50000</f>
        <v>66.625</v>
      </c>
      <c r="P39" s="227">
        <f t="shared" si="16"/>
        <v>68.25</v>
      </c>
      <c r="Q39" s="227">
        <f t="shared" si="16"/>
        <v>69.875</v>
      </c>
      <c r="R39" s="227">
        <f t="shared" si="16"/>
        <v>71.5</v>
      </c>
      <c r="S39" s="227">
        <f t="shared" si="16"/>
        <v>73.125</v>
      </c>
      <c r="T39" s="227">
        <f t="shared" si="16"/>
        <v>74.75</v>
      </c>
      <c r="U39" s="227">
        <f t="shared" si="16"/>
        <v>76.375</v>
      </c>
      <c r="V39" s="227">
        <f t="shared" si="16"/>
        <v>78</v>
      </c>
      <c r="W39" s="227">
        <f t="shared" si="16"/>
        <v>79.625</v>
      </c>
      <c r="X39" s="227">
        <f t="shared" si="16"/>
        <v>81.25</v>
      </c>
      <c r="Y39" s="227">
        <f t="shared" si="16"/>
        <v>82.875</v>
      </c>
      <c r="Z39" s="227">
        <f t="shared" si="16"/>
        <v>84.5</v>
      </c>
      <c r="AA39" s="227">
        <f t="shared" si="16"/>
        <v>86.125</v>
      </c>
      <c r="AB39" s="227">
        <f t="shared" si="16"/>
        <v>87.75</v>
      </c>
      <c r="AC39" s="227">
        <f t="shared" si="16"/>
        <v>89.375</v>
      </c>
      <c r="AD39" s="227">
        <f t="shared" si="16"/>
        <v>91</v>
      </c>
      <c r="AE39" s="227">
        <f t="shared" si="16"/>
        <v>92.625</v>
      </c>
      <c r="AF39" s="227">
        <f t="shared" si="16"/>
        <v>94.25</v>
      </c>
      <c r="AG39" s="227">
        <f t="shared" si="16"/>
        <v>95.875</v>
      </c>
      <c r="AH39" s="227">
        <f t="shared" si="16"/>
        <v>97.5</v>
      </c>
      <c r="AI39" s="227">
        <f t="shared" si="16"/>
        <v>99.125</v>
      </c>
      <c r="AJ39" s="227">
        <f t="shared" si="16"/>
        <v>100.75</v>
      </c>
      <c r="AK39" s="227">
        <f t="shared" si="16"/>
        <v>102.375</v>
      </c>
      <c r="AL39" s="227">
        <f t="shared" si="16"/>
        <v>104</v>
      </c>
    </row>
    <row r="40" spans="1:38">
      <c r="A40" s="193">
        <v>3500</v>
      </c>
      <c r="B40" s="226">
        <f t="shared" si="5"/>
        <v>49</v>
      </c>
      <c r="C40" s="209">
        <f t="shared" si="5"/>
        <v>50.75</v>
      </c>
      <c r="D40" s="209">
        <f t="shared" si="5"/>
        <v>52.5</v>
      </c>
      <c r="E40" s="209">
        <f t="shared" si="5"/>
        <v>54.25</v>
      </c>
      <c r="F40" s="209">
        <f t="shared" si="5"/>
        <v>56</v>
      </c>
      <c r="G40" s="209">
        <f t="shared" si="5"/>
        <v>57.75</v>
      </c>
      <c r="H40" s="209">
        <f t="shared" si="5"/>
        <v>59.5</v>
      </c>
      <c r="I40" s="209">
        <f t="shared" si="5"/>
        <v>61.25</v>
      </c>
      <c r="J40" s="209">
        <f t="shared" si="5"/>
        <v>63</v>
      </c>
      <c r="K40" s="209">
        <f t="shared" si="5"/>
        <v>64.75</v>
      </c>
      <c r="L40" s="209">
        <f t="shared" si="5"/>
        <v>66.5</v>
      </c>
      <c r="M40" s="209">
        <f t="shared" si="5"/>
        <v>68.25</v>
      </c>
      <c r="N40" s="234">
        <f t="shared" si="5"/>
        <v>70</v>
      </c>
      <c r="O40" s="234">
        <f t="shared" ref="O40:AL40" si="17">O22/50000</f>
        <v>71.75</v>
      </c>
      <c r="P40" s="234">
        <f t="shared" si="17"/>
        <v>73.5</v>
      </c>
      <c r="Q40" s="234">
        <f t="shared" si="17"/>
        <v>75.25</v>
      </c>
      <c r="R40" s="234">
        <f t="shared" si="17"/>
        <v>77</v>
      </c>
      <c r="S40" s="234">
        <f t="shared" si="17"/>
        <v>78.75</v>
      </c>
      <c r="T40" s="234">
        <f t="shared" si="17"/>
        <v>80.5</v>
      </c>
      <c r="U40" s="234">
        <f t="shared" si="17"/>
        <v>82.25</v>
      </c>
      <c r="V40" s="234">
        <f t="shared" si="17"/>
        <v>84</v>
      </c>
      <c r="W40" s="234">
        <f t="shared" si="17"/>
        <v>85.75</v>
      </c>
      <c r="X40" s="234">
        <f t="shared" si="17"/>
        <v>87.5</v>
      </c>
      <c r="Y40" s="234">
        <f t="shared" si="17"/>
        <v>89.25</v>
      </c>
      <c r="Z40" s="234">
        <f t="shared" si="17"/>
        <v>91</v>
      </c>
      <c r="AA40" s="234">
        <f t="shared" si="17"/>
        <v>92.75</v>
      </c>
      <c r="AB40" s="234">
        <f t="shared" si="17"/>
        <v>94.5</v>
      </c>
      <c r="AC40" s="234">
        <f t="shared" si="17"/>
        <v>96.25</v>
      </c>
      <c r="AD40" s="234">
        <f t="shared" si="17"/>
        <v>98</v>
      </c>
      <c r="AE40" s="234">
        <f t="shared" si="17"/>
        <v>99.75</v>
      </c>
      <c r="AF40" s="234">
        <f t="shared" si="17"/>
        <v>101.5</v>
      </c>
      <c r="AG40" s="234">
        <f t="shared" si="17"/>
        <v>103.25</v>
      </c>
      <c r="AH40" s="234">
        <f t="shared" si="17"/>
        <v>105</v>
      </c>
      <c r="AI40" s="234">
        <f t="shared" si="17"/>
        <v>106.75</v>
      </c>
      <c r="AJ40" s="234">
        <f t="shared" si="17"/>
        <v>108.5</v>
      </c>
      <c r="AK40" s="234">
        <f t="shared" si="17"/>
        <v>110.25</v>
      </c>
      <c r="AL40" s="234">
        <f t="shared" si="17"/>
        <v>112</v>
      </c>
    </row>
    <row r="41" spans="1:38">
      <c r="A41" s="193">
        <v>3750</v>
      </c>
      <c r="B41" s="229">
        <f t="shared" si="5"/>
        <v>52.5</v>
      </c>
      <c r="C41" s="209">
        <f t="shared" si="5"/>
        <v>54.375</v>
      </c>
      <c r="D41" s="209">
        <f t="shared" si="5"/>
        <v>56.25</v>
      </c>
      <c r="E41" s="209">
        <f t="shared" si="5"/>
        <v>58.125</v>
      </c>
      <c r="F41" s="209">
        <f t="shared" si="5"/>
        <v>60</v>
      </c>
      <c r="G41" s="209">
        <f t="shared" si="5"/>
        <v>61.875</v>
      </c>
      <c r="H41" s="209">
        <f t="shared" si="5"/>
        <v>63.75</v>
      </c>
      <c r="I41" s="209">
        <f t="shared" si="5"/>
        <v>65.625</v>
      </c>
      <c r="J41" s="209">
        <f t="shared" si="5"/>
        <v>67.5</v>
      </c>
      <c r="K41" s="209">
        <f t="shared" si="5"/>
        <v>69.375</v>
      </c>
      <c r="L41" s="79">
        <f t="shared" si="5"/>
        <v>71.25</v>
      </c>
      <c r="M41" s="79">
        <f t="shared" si="5"/>
        <v>73.125</v>
      </c>
      <c r="N41" s="234">
        <f t="shared" si="5"/>
        <v>75</v>
      </c>
      <c r="O41" s="234">
        <f t="shared" ref="O41:AL41" si="18">O23/50000</f>
        <v>76.875</v>
      </c>
      <c r="P41" s="234">
        <f t="shared" si="18"/>
        <v>78.75</v>
      </c>
      <c r="Q41" s="234">
        <f t="shared" si="18"/>
        <v>80.625</v>
      </c>
      <c r="R41" s="234">
        <f t="shared" si="18"/>
        <v>82.5</v>
      </c>
      <c r="S41" s="234">
        <f t="shared" si="18"/>
        <v>84.375</v>
      </c>
      <c r="T41" s="234">
        <f t="shared" si="18"/>
        <v>86.25</v>
      </c>
      <c r="U41" s="234">
        <f t="shared" si="18"/>
        <v>88.125</v>
      </c>
      <c r="V41" s="234">
        <f t="shared" si="18"/>
        <v>90</v>
      </c>
      <c r="W41" s="234">
        <f t="shared" si="18"/>
        <v>91.875</v>
      </c>
      <c r="X41" s="234">
        <f t="shared" si="18"/>
        <v>93.75</v>
      </c>
      <c r="Y41" s="234">
        <f t="shared" si="18"/>
        <v>95.625</v>
      </c>
      <c r="Z41" s="234">
        <f t="shared" si="18"/>
        <v>97.5</v>
      </c>
      <c r="AA41" s="234">
        <f t="shared" si="18"/>
        <v>99.375</v>
      </c>
      <c r="AB41" s="234">
        <f t="shared" si="18"/>
        <v>101.25</v>
      </c>
      <c r="AC41" s="234">
        <f t="shared" si="18"/>
        <v>103.125</v>
      </c>
      <c r="AD41" s="234">
        <f t="shared" si="18"/>
        <v>105</v>
      </c>
      <c r="AE41" s="234">
        <f t="shared" si="18"/>
        <v>106.875</v>
      </c>
      <c r="AF41" s="234">
        <f t="shared" si="18"/>
        <v>108.75</v>
      </c>
      <c r="AG41" s="234">
        <f t="shared" si="18"/>
        <v>110.625</v>
      </c>
      <c r="AH41" s="234">
        <f t="shared" si="18"/>
        <v>112.5</v>
      </c>
      <c r="AI41" s="234">
        <f t="shared" si="18"/>
        <v>114.375</v>
      </c>
      <c r="AJ41" s="234">
        <f t="shared" si="18"/>
        <v>116.25</v>
      </c>
      <c r="AK41" s="234">
        <f t="shared" si="18"/>
        <v>118.125</v>
      </c>
      <c r="AL41" s="234">
        <f t="shared" si="18"/>
        <v>120</v>
      </c>
    </row>
    <row r="42" spans="1:38" ht="15.75" thickBot="1">
      <c r="A42" s="193">
        <v>4000</v>
      </c>
      <c r="B42" s="230">
        <f t="shared" si="5"/>
        <v>56</v>
      </c>
      <c r="C42" s="231">
        <f t="shared" si="5"/>
        <v>58</v>
      </c>
      <c r="D42" s="231">
        <f t="shared" si="5"/>
        <v>60</v>
      </c>
      <c r="E42" s="231">
        <f t="shared" si="5"/>
        <v>62</v>
      </c>
      <c r="F42" s="231">
        <f t="shared" si="5"/>
        <v>64</v>
      </c>
      <c r="G42" s="231">
        <f t="shared" si="5"/>
        <v>66</v>
      </c>
      <c r="H42" s="231">
        <f t="shared" si="5"/>
        <v>68</v>
      </c>
      <c r="I42" s="201">
        <f t="shared" si="5"/>
        <v>70</v>
      </c>
      <c r="J42" s="201">
        <f t="shared" si="5"/>
        <v>72</v>
      </c>
      <c r="K42" s="201">
        <f t="shared" si="5"/>
        <v>74</v>
      </c>
      <c r="L42" s="201">
        <f t="shared" si="5"/>
        <v>76</v>
      </c>
      <c r="M42" s="201">
        <f t="shared" si="5"/>
        <v>78</v>
      </c>
      <c r="N42" s="202">
        <f t="shared" si="5"/>
        <v>80</v>
      </c>
      <c r="O42" s="202">
        <f t="shared" ref="O42:AL42" si="19">O24/50000</f>
        <v>82</v>
      </c>
      <c r="P42" s="202">
        <f t="shared" si="19"/>
        <v>84</v>
      </c>
      <c r="Q42" s="202">
        <f t="shared" si="19"/>
        <v>86</v>
      </c>
      <c r="R42" s="202">
        <f t="shared" si="19"/>
        <v>88</v>
      </c>
      <c r="S42" s="202">
        <f t="shared" si="19"/>
        <v>90</v>
      </c>
      <c r="T42" s="202">
        <f t="shared" si="19"/>
        <v>92</v>
      </c>
      <c r="U42" s="202">
        <f t="shared" si="19"/>
        <v>94</v>
      </c>
      <c r="V42" s="202">
        <f t="shared" si="19"/>
        <v>96</v>
      </c>
      <c r="W42" s="202">
        <f t="shared" si="19"/>
        <v>98</v>
      </c>
      <c r="X42" s="202">
        <f t="shared" si="19"/>
        <v>100</v>
      </c>
      <c r="Y42" s="202">
        <f t="shared" si="19"/>
        <v>102</v>
      </c>
      <c r="Z42" s="202">
        <f t="shared" si="19"/>
        <v>104</v>
      </c>
      <c r="AA42" s="202">
        <f t="shared" si="19"/>
        <v>106</v>
      </c>
      <c r="AB42" s="202">
        <f t="shared" si="19"/>
        <v>108</v>
      </c>
      <c r="AC42" s="202">
        <f t="shared" si="19"/>
        <v>110</v>
      </c>
      <c r="AD42" s="202">
        <f t="shared" si="19"/>
        <v>112</v>
      </c>
      <c r="AE42" s="202">
        <f t="shared" si="19"/>
        <v>114</v>
      </c>
      <c r="AF42" s="202">
        <f t="shared" si="19"/>
        <v>116</v>
      </c>
      <c r="AG42" s="202">
        <f t="shared" si="19"/>
        <v>118</v>
      </c>
      <c r="AH42" s="202">
        <f t="shared" si="19"/>
        <v>120</v>
      </c>
      <c r="AI42" s="202">
        <f t="shared" si="19"/>
        <v>122</v>
      </c>
      <c r="AJ42" s="202">
        <f t="shared" si="19"/>
        <v>124</v>
      </c>
      <c r="AK42" s="202">
        <f t="shared" si="19"/>
        <v>126</v>
      </c>
      <c r="AL42" s="202">
        <f t="shared" si="19"/>
        <v>128</v>
      </c>
    </row>
    <row r="45" spans="1:38" ht="30">
      <c r="B45" s="196" t="s">
        <v>394</v>
      </c>
      <c r="C45" s="194" t="s">
        <v>395</v>
      </c>
      <c r="D45" s="197" t="s">
        <v>396</v>
      </c>
      <c r="E45" s="195" t="s">
        <v>397</v>
      </c>
      <c r="F45" s="198" t="s">
        <v>398</v>
      </c>
      <c r="G45" s="199" t="s">
        <v>399</v>
      </c>
      <c r="H45" s="212" t="s">
        <v>402</v>
      </c>
      <c r="I45" s="192" t="s">
        <v>403</v>
      </c>
    </row>
    <row r="48" spans="1:38">
      <c r="A48" s="237" t="s">
        <v>400</v>
      </c>
      <c r="B48" s="237"/>
      <c r="C48" s="237"/>
      <c r="D48" s="237"/>
      <c r="E48" s="237"/>
    </row>
    <row r="49" spans="1:8">
      <c r="A49" s="20">
        <f>830</f>
        <v>830</v>
      </c>
      <c r="B49" s="192">
        <v>700</v>
      </c>
      <c r="D49" s="192">
        <f>1000</f>
        <v>1000</v>
      </c>
      <c r="G49" s="200">
        <v>750</v>
      </c>
      <c r="H49" s="200">
        <v>900</v>
      </c>
    </row>
    <row r="50" spans="1:8">
      <c r="A50" s="20">
        <f>750</f>
        <v>750</v>
      </c>
      <c r="B50" s="111">
        <f>-6.6667*A50+6233</f>
        <v>1232.9750000000004</v>
      </c>
      <c r="D50" s="111">
        <f>-6.6667*A50+6533</f>
        <v>1532.9750000000004</v>
      </c>
      <c r="G50" s="192">
        <v>1000</v>
      </c>
      <c r="H50" s="192">
        <v>0</v>
      </c>
    </row>
    <row r="51" spans="1:8">
      <c r="A51" s="20">
        <f>900</f>
        <v>900</v>
      </c>
      <c r="B51" s="111">
        <f>-6.6667*A51+6233</f>
        <v>232.97000000000025</v>
      </c>
      <c r="D51" s="111">
        <f t="shared" ref="D51:D53" si="20">-6.6667*A51+6533</f>
        <v>532.97000000000025</v>
      </c>
    </row>
    <row r="52" spans="1:8">
      <c r="A52" s="20">
        <f>6233/6.66667</f>
        <v>934.94953252523374</v>
      </c>
      <c r="B52" s="192">
        <v>0</v>
      </c>
      <c r="D52" s="111">
        <f t="shared" si="20"/>
        <v>299.97195151402502</v>
      </c>
    </row>
    <row r="53" spans="1:8">
      <c r="A53" s="20">
        <f>6533/6.66667</f>
        <v>979.94951002524499</v>
      </c>
      <c r="D53" s="111">
        <f t="shared" si="20"/>
        <v>-2.9398485300589527E-2</v>
      </c>
      <c r="F53" s="192">
        <f>830*-6.6667</f>
        <v>-5533.3609999999999</v>
      </c>
    </row>
    <row r="54" spans="1:8">
      <c r="A54" s="20">
        <v>550</v>
      </c>
      <c r="D54" s="111">
        <f>-6.6667*A54+6533</f>
        <v>2866.3150000000001</v>
      </c>
    </row>
  </sheetData>
  <mergeCells count="4">
    <mergeCell ref="A3:B3"/>
    <mergeCell ref="B8:N8"/>
    <mergeCell ref="B26:N26"/>
    <mergeCell ref="A48:E48"/>
  </mergeCells>
  <pageMargins left="0.7" right="0.7" top="0.75" bottom="0.75" header="0.3" footer="0.3"/>
  <pageSetup paperSize="17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1"/>
  <sheetViews>
    <sheetView zoomScale="190" zoomScaleNormal="190" workbookViewId="0">
      <selection activeCell="F6" sqref="F6"/>
    </sheetView>
  </sheetViews>
  <sheetFormatPr defaultRowHeight="15"/>
  <cols>
    <col min="1" max="1" width="10" style="190" bestFit="1" customWidth="1"/>
    <col min="2" max="3" width="13.42578125" style="190" customWidth="1"/>
    <col min="4" max="4" width="9.85546875" style="190" bestFit="1" customWidth="1"/>
    <col min="5" max="32" width="9.140625" style="190"/>
  </cols>
  <sheetData>
    <row r="2" spans="1:4">
      <c r="A2" s="237" t="s">
        <v>384</v>
      </c>
      <c r="B2" s="237"/>
      <c r="C2" s="190" t="s">
        <v>385</v>
      </c>
    </row>
    <row r="3" spans="1:4">
      <c r="A3" s="24">
        <v>20000</v>
      </c>
      <c r="B3" s="191">
        <f>48.5*A3</f>
        <v>970000</v>
      </c>
      <c r="C3" s="191">
        <f>0.3*B3</f>
        <v>291000</v>
      </c>
    </row>
    <row r="4" spans="1:4">
      <c r="A4" s="237" t="s">
        <v>386</v>
      </c>
      <c r="B4" s="237"/>
      <c r="C4" s="237"/>
    </row>
    <row r="5" spans="1:4">
      <c r="A5" s="24">
        <v>5000</v>
      </c>
      <c r="B5" s="191">
        <f>60*A5</f>
        <v>300000</v>
      </c>
      <c r="C5" s="191">
        <f>(A3-A5)*48.5*0.3</f>
        <v>218250</v>
      </c>
      <c r="D5" s="191">
        <f>B5-C5</f>
        <v>81750</v>
      </c>
    </row>
    <row r="6" spans="1:4">
      <c r="A6" s="24">
        <v>4000</v>
      </c>
      <c r="B6" s="191">
        <f t="shared" ref="B6:B11" si="0">60*A6</f>
        <v>240000</v>
      </c>
      <c r="C6" s="191">
        <f>($A$3-A6)*48.5*0.3</f>
        <v>232800</v>
      </c>
      <c r="D6" s="191">
        <f t="shared" ref="D6:D11" si="1">B6-C6</f>
        <v>7200</v>
      </c>
    </row>
    <row r="7" spans="1:4">
      <c r="A7" s="24">
        <v>3000</v>
      </c>
      <c r="B7" s="191">
        <f t="shared" si="0"/>
        <v>180000</v>
      </c>
      <c r="C7" s="191">
        <f t="shared" ref="C7:C11" si="2">($A$3-A7)*48.5*0.3</f>
        <v>247350</v>
      </c>
      <c r="D7" s="191">
        <f t="shared" si="1"/>
        <v>-67350</v>
      </c>
    </row>
    <row r="8" spans="1:4">
      <c r="A8" s="24">
        <v>2500</v>
      </c>
      <c r="B8" s="191">
        <f t="shared" si="0"/>
        <v>150000</v>
      </c>
      <c r="C8" s="191">
        <f t="shared" si="2"/>
        <v>254625</v>
      </c>
      <c r="D8" s="191">
        <f t="shared" si="1"/>
        <v>-104625</v>
      </c>
    </row>
    <row r="9" spans="1:4">
      <c r="A9" s="24">
        <v>2000</v>
      </c>
      <c r="B9" s="191">
        <f t="shared" si="0"/>
        <v>120000</v>
      </c>
      <c r="C9" s="191">
        <f t="shared" si="2"/>
        <v>261900</v>
      </c>
      <c r="D9" s="191">
        <f t="shared" si="1"/>
        <v>-141900</v>
      </c>
    </row>
    <row r="10" spans="1:4">
      <c r="A10" s="24">
        <v>1000</v>
      </c>
      <c r="B10" s="191">
        <f t="shared" si="0"/>
        <v>60000</v>
      </c>
      <c r="C10" s="191">
        <f t="shared" si="2"/>
        <v>276450</v>
      </c>
      <c r="D10" s="191">
        <f t="shared" si="1"/>
        <v>-216450</v>
      </c>
    </row>
    <row r="11" spans="1:4">
      <c r="A11" s="111">
        <v>3903.4205231388332</v>
      </c>
      <c r="B11" s="191">
        <f t="shared" si="0"/>
        <v>234205.23138832999</v>
      </c>
      <c r="C11" s="191">
        <f t="shared" si="2"/>
        <v>234205.23138832999</v>
      </c>
      <c r="D11" s="191">
        <f t="shared" si="1"/>
        <v>0</v>
      </c>
    </row>
  </sheetData>
  <mergeCells count="2">
    <mergeCell ref="A2:B2"/>
    <mergeCell ref="A4:C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"/>
  <sheetViews>
    <sheetView workbookViewId="0">
      <selection activeCell="A2" sqref="A2"/>
    </sheetView>
  </sheetViews>
  <sheetFormatPr defaultRowHeight="15"/>
  <cols>
    <col min="1" max="27" width="9.140625" style="14"/>
  </cols>
  <sheetData>
    <row r="1" spans="1:7">
      <c r="A1" s="237" t="s">
        <v>26</v>
      </c>
      <c r="B1" s="237"/>
      <c r="C1" s="237"/>
      <c r="D1" s="237"/>
      <c r="E1" s="237"/>
      <c r="F1" s="237"/>
      <c r="G1" s="237"/>
    </row>
  </sheetData>
  <mergeCells count="1">
    <mergeCell ref="A1:G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5"/>
  <sheetViews>
    <sheetView workbookViewId="0">
      <selection activeCell="B17" sqref="B17"/>
    </sheetView>
  </sheetViews>
  <sheetFormatPr defaultRowHeight="15"/>
  <cols>
    <col min="1" max="29" width="9.140625" style="14"/>
  </cols>
  <sheetData>
    <row r="2" spans="1:29" ht="15" customHeight="1">
      <c r="A2" s="19">
        <v>0.9</v>
      </c>
      <c r="B2" s="265" t="s">
        <v>39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R2"/>
      <c r="S2"/>
      <c r="T2"/>
      <c r="U2"/>
      <c r="V2"/>
      <c r="W2"/>
      <c r="X2"/>
      <c r="Y2"/>
      <c r="Z2"/>
      <c r="AA2"/>
      <c r="AB2"/>
      <c r="AC2"/>
    </row>
    <row r="3" spans="1:29" ht="15" customHeight="1">
      <c r="A3" s="277" t="s">
        <v>41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R3"/>
      <c r="S3"/>
      <c r="T3"/>
      <c r="U3"/>
      <c r="V3"/>
      <c r="W3"/>
      <c r="X3"/>
      <c r="Y3"/>
      <c r="Z3"/>
      <c r="AA3"/>
      <c r="AB3"/>
      <c r="AC3"/>
    </row>
    <row r="4" spans="1:29">
      <c r="A4" s="19">
        <v>0.75</v>
      </c>
      <c r="B4" s="265" t="s">
        <v>31</v>
      </c>
      <c r="C4" s="265"/>
      <c r="D4" s="265"/>
      <c r="E4" s="265"/>
      <c r="F4" s="265"/>
      <c r="G4" s="265"/>
      <c r="H4" s="265"/>
      <c r="I4" s="265"/>
      <c r="J4" s="265"/>
      <c r="K4" s="265"/>
      <c r="L4" s="265"/>
    </row>
    <row r="5" spans="1:29">
      <c r="A5" s="19">
        <v>0.11</v>
      </c>
      <c r="B5" s="265" t="s">
        <v>32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</row>
    <row r="6" spans="1:29">
      <c r="A6" s="19">
        <v>0.96</v>
      </c>
      <c r="B6" s="265" t="s">
        <v>33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</row>
    <row r="7" spans="1:29">
      <c r="A7" s="19">
        <v>0.27</v>
      </c>
      <c r="B7" s="265" t="s">
        <v>34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</row>
    <row r="8" spans="1:29">
      <c r="A8" s="19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29">
      <c r="A9" s="19">
        <v>0.8</v>
      </c>
      <c r="B9" s="265" t="s">
        <v>35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</row>
    <row r="10" spans="1:29">
      <c r="A10" s="19">
        <v>0.27</v>
      </c>
      <c r="B10" s="265" t="s">
        <v>36</v>
      </c>
      <c r="C10" s="265"/>
      <c r="D10" s="265"/>
      <c r="E10" s="265"/>
      <c r="F10" s="265"/>
      <c r="G10" s="265"/>
      <c r="H10" s="265"/>
      <c r="I10" s="265"/>
      <c r="J10" s="265"/>
      <c r="K10" s="265"/>
      <c r="L10" s="265"/>
    </row>
    <row r="11" spans="1:29">
      <c r="A11" s="19">
        <v>0.44</v>
      </c>
      <c r="B11" s="265" t="s">
        <v>37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</row>
    <row r="12" spans="1:29">
      <c r="A12" s="19">
        <v>0.27</v>
      </c>
      <c r="B12" s="265" t="s">
        <v>38</v>
      </c>
      <c r="C12" s="265"/>
      <c r="D12" s="265"/>
      <c r="E12" s="265"/>
      <c r="F12" s="265"/>
      <c r="G12" s="265"/>
      <c r="H12" s="265"/>
      <c r="I12" s="265"/>
      <c r="J12" s="265"/>
      <c r="K12" s="265"/>
      <c r="L12" s="265"/>
    </row>
    <row r="14" spans="1:29">
      <c r="A14" s="19">
        <v>0.05</v>
      </c>
      <c r="B14" s="265" t="s">
        <v>40</v>
      </c>
      <c r="C14" s="265"/>
      <c r="D14" s="265"/>
      <c r="E14" s="265"/>
      <c r="F14" s="265"/>
      <c r="G14" s="265"/>
      <c r="H14" s="265"/>
      <c r="I14" s="265"/>
      <c r="J14" s="265"/>
      <c r="K14" s="265"/>
      <c r="L14" s="265"/>
    </row>
    <row r="15" spans="1:29">
      <c r="A15" s="19">
        <v>0.06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</row>
  </sheetData>
  <mergeCells count="11">
    <mergeCell ref="B7:L7"/>
    <mergeCell ref="A3:L3"/>
    <mergeCell ref="B4:L4"/>
    <mergeCell ref="B2:L2"/>
    <mergeCell ref="B5:L5"/>
    <mergeCell ref="B6:L6"/>
    <mergeCell ref="B9:L9"/>
    <mergeCell ref="B10:L10"/>
    <mergeCell ref="B11:L11"/>
    <mergeCell ref="B12:L12"/>
    <mergeCell ref="B14:L15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26"/>
  <sheetViews>
    <sheetView workbookViewId="0">
      <selection activeCell="B16" sqref="B16"/>
    </sheetView>
  </sheetViews>
  <sheetFormatPr defaultRowHeight="15"/>
  <cols>
    <col min="1" max="1" width="23" style="25" customWidth="1"/>
    <col min="2" max="2" width="81.42578125" style="14" customWidth="1"/>
    <col min="3" max="3" width="10" style="14" bestFit="1" customWidth="1"/>
    <col min="4" max="39" width="9.140625" style="14"/>
  </cols>
  <sheetData>
    <row r="2" spans="1:6" ht="45">
      <c r="A2" s="25" t="s">
        <v>50</v>
      </c>
      <c r="B2" s="14" t="s">
        <v>49</v>
      </c>
      <c r="C2" s="19">
        <v>0.15</v>
      </c>
      <c r="D2" s="19">
        <v>0.25</v>
      </c>
      <c r="E2" s="19">
        <v>0.4</v>
      </c>
    </row>
    <row r="3" spans="1:6">
      <c r="A3" s="24">
        <f>500000</f>
        <v>500000</v>
      </c>
      <c r="B3" s="14" t="s">
        <v>51</v>
      </c>
      <c r="C3" s="111">
        <f>0.85*A3</f>
        <v>425000</v>
      </c>
      <c r="D3" s="111">
        <f>A3*0.75</f>
        <v>375000</v>
      </c>
      <c r="E3" s="111">
        <f>A3*0.6</f>
        <v>300000</v>
      </c>
      <c r="F3" s="111"/>
    </row>
    <row r="4" spans="1:6">
      <c r="A4" s="24"/>
      <c r="B4" s="14" t="s">
        <v>52</v>
      </c>
      <c r="C4" s="111">
        <f t="shared" ref="C4:C10" si="0">0.85*A4</f>
        <v>0</v>
      </c>
      <c r="D4" s="111">
        <f t="shared" ref="D4:D10" si="1">A4*0.75</f>
        <v>0</v>
      </c>
      <c r="E4" s="111">
        <f t="shared" ref="E4:E10" si="2">A4*0.6</f>
        <v>0</v>
      </c>
      <c r="F4" s="111"/>
    </row>
    <row r="5" spans="1:6">
      <c r="A5" s="24">
        <f>154000+313000</f>
        <v>467000</v>
      </c>
      <c r="B5" s="14" t="s">
        <v>53</v>
      </c>
      <c r="C5" s="111">
        <f t="shared" si="0"/>
        <v>396950</v>
      </c>
      <c r="D5" s="111">
        <f t="shared" si="1"/>
        <v>350250</v>
      </c>
      <c r="E5" s="111">
        <f t="shared" si="2"/>
        <v>280200</v>
      </c>
      <c r="F5" s="111"/>
    </row>
    <row r="6" spans="1:6">
      <c r="A6" s="24">
        <f>150000+304000</f>
        <v>454000</v>
      </c>
      <c r="B6" s="14" t="s">
        <v>54</v>
      </c>
      <c r="C6" s="111">
        <f t="shared" si="0"/>
        <v>385900</v>
      </c>
      <c r="D6" s="111">
        <f t="shared" si="1"/>
        <v>340500</v>
      </c>
      <c r="E6" s="111">
        <f t="shared" si="2"/>
        <v>272400</v>
      </c>
      <c r="F6" s="111"/>
    </row>
    <row r="7" spans="1:6">
      <c r="A7" s="24">
        <f>146000+295000</f>
        <v>441000</v>
      </c>
      <c r="B7" s="14" t="s">
        <v>55</v>
      </c>
      <c r="C7" s="111">
        <f t="shared" si="0"/>
        <v>374850</v>
      </c>
      <c r="D7" s="111">
        <f t="shared" si="1"/>
        <v>330750</v>
      </c>
      <c r="E7" s="111">
        <f t="shared" si="2"/>
        <v>264600</v>
      </c>
      <c r="F7" s="111"/>
    </row>
    <row r="8" spans="1:6">
      <c r="A8" s="27">
        <f>141000+285000</f>
        <v>426000</v>
      </c>
      <c r="B8" s="28" t="s">
        <v>56</v>
      </c>
      <c r="C8" s="111">
        <f t="shared" si="0"/>
        <v>362100</v>
      </c>
      <c r="D8" s="111">
        <f t="shared" si="1"/>
        <v>319500</v>
      </c>
      <c r="E8" s="111">
        <f t="shared" si="2"/>
        <v>255600</v>
      </c>
      <c r="F8" s="111"/>
    </row>
    <row r="9" spans="1:6">
      <c r="A9" s="24">
        <f>129000+261000</f>
        <v>390000</v>
      </c>
      <c r="B9" s="14" t="s">
        <v>57</v>
      </c>
      <c r="C9" s="111">
        <f t="shared" si="0"/>
        <v>331500</v>
      </c>
      <c r="D9" s="111">
        <f t="shared" si="1"/>
        <v>292500</v>
      </c>
      <c r="E9" s="111">
        <f t="shared" si="2"/>
        <v>234000</v>
      </c>
      <c r="F9" s="111"/>
    </row>
    <row r="10" spans="1:6">
      <c r="A10" s="24">
        <f>118000+239000</f>
        <v>357000</v>
      </c>
      <c r="B10" s="14" t="s">
        <v>58</v>
      </c>
      <c r="C10" s="111">
        <f t="shared" si="0"/>
        <v>303450</v>
      </c>
      <c r="D10" s="111">
        <f t="shared" si="1"/>
        <v>267750</v>
      </c>
      <c r="E10" s="111">
        <f t="shared" si="2"/>
        <v>214200</v>
      </c>
      <c r="F10" s="111"/>
    </row>
    <row r="11" spans="1:6">
      <c r="A11" s="24"/>
    </row>
    <row r="12" spans="1:6">
      <c r="A12" s="24"/>
    </row>
    <row r="13" spans="1:6">
      <c r="A13" s="24"/>
    </row>
    <row r="14" spans="1:6">
      <c r="A14" s="24"/>
    </row>
    <row r="15" spans="1:6">
      <c r="A15" s="24"/>
    </row>
    <row r="16" spans="1:6">
      <c r="A16" s="24"/>
    </row>
    <row r="17" spans="1:1">
      <c r="A17" s="24"/>
    </row>
    <row r="18" spans="1:1">
      <c r="A18" s="24"/>
    </row>
    <row r="19" spans="1:1">
      <c r="A19" s="24"/>
    </row>
    <row r="20" spans="1:1">
      <c r="A20" s="24"/>
    </row>
    <row r="21" spans="1:1">
      <c r="A21" s="24"/>
    </row>
    <row r="22" spans="1:1">
      <c r="A22" s="24"/>
    </row>
    <row r="23" spans="1:1">
      <c r="A23" s="24"/>
    </row>
    <row r="24" spans="1:1">
      <c r="A24" s="24"/>
    </row>
    <row r="25" spans="1:1">
      <c r="A25" s="24"/>
    </row>
    <row r="26" spans="1:1">
      <c r="A26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0"/>
  <sheetViews>
    <sheetView zoomScale="90" zoomScaleNormal="90" workbookViewId="0">
      <pane xSplit="1" ySplit="4" topLeftCell="B17" activePane="bottomRight" state="frozenSplit"/>
      <selection pane="topRight" activeCell="B1" sqref="B1"/>
      <selection pane="bottomLeft" activeCell="A5" sqref="A5"/>
      <selection pane="bottomRight" activeCell="C50" sqref="C50"/>
    </sheetView>
  </sheetViews>
  <sheetFormatPr defaultColWidth="32.28515625" defaultRowHeight="15"/>
  <cols>
    <col min="1" max="1" width="37.42578125" style="74" customWidth="1"/>
    <col min="2" max="2" width="13.140625" style="74" bestFit="1" customWidth="1"/>
    <col min="3" max="4" width="14.140625" style="74" bestFit="1" customWidth="1"/>
    <col min="5" max="6" width="15.7109375" style="74" bestFit="1" customWidth="1"/>
    <col min="7" max="9" width="15.85546875" style="74" bestFit="1" customWidth="1"/>
    <col min="10" max="11" width="14.7109375" style="74" bestFit="1" customWidth="1"/>
    <col min="12" max="12" width="15.85546875" style="74" bestFit="1" customWidth="1"/>
    <col min="13" max="14" width="14.140625" style="74" bestFit="1" customWidth="1"/>
    <col min="15" max="15" width="14.140625" style="156" bestFit="1" customWidth="1"/>
    <col min="16" max="17" width="14.140625" style="74" bestFit="1" customWidth="1"/>
    <col min="18" max="18" width="12" style="74" bestFit="1" customWidth="1"/>
    <col min="19" max="16384" width="32.28515625" style="74"/>
  </cols>
  <sheetData>
    <row r="2" spans="1:18">
      <c r="A2" s="74" t="s">
        <v>202</v>
      </c>
    </row>
    <row r="4" spans="1:18">
      <c r="B4" s="74">
        <v>2019</v>
      </c>
      <c r="C4" s="74">
        <v>2020</v>
      </c>
      <c r="D4" s="74">
        <v>2021</v>
      </c>
      <c r="E4" s="74">
        <v>2022</v>
      </c>
      <c r="F4" s="74">
        <v>2023</v>
      </c>
      <c r="G4" s="74">
        <v>2024</v>
      </c>
      <c r="H4" s="74">
        <v>2025</v>
      </c>
      <c r="I4" s="74">
        <v>2026</v>
      </c>
      <c r="J4" s="74">
        <v>2027</v>
      </c>
      <c r="K4" s="74">
        <v>2028</v>
      </c>
      <c r="L4" s="74">
        <v>2029</v>
      </c>
      <c r="M4" s="74">
        <v>2030</v>
      </c>
      <c r="N4" s="74">
        <v>2031</v>
      </c>
      <c r="O4" s="156">
        <v>2059</v>
      </c>
      <c r="P4" s="74">
        <v>2060</v>
      </c>
      <c r="Q4" s="74">
        <v>2069</v>
      </c>
      <c r="R4" s="74">
        <v>2070</v>
      </c>
    </row>
    <row r="5" spans="1:18">
      <c r="A5" s="74" t="s">
        <v>169</v>
      </c>
      <c r="B5" s="2">
        <f>300000</f>
        <v>300000</v>
      </c>
      <c r="C5" s="2">
        <f>B28</f>
        <v>0</v>
      </c>
      <c r="D5" s="2">
        <f t="shared" ref="D5:N5" si="0">C28</f>
        <v>0</v>
      </c>
      <c r="E5" s="2">
        <f t="shared" si="0"/>
        <v>0</v>
      </c>
      <c r="F5" s="2">
        <f t="shared" si="0"/>
        <v>1419650326.709209</v>
      </c>
      <c r="G5" s="2">
        <f t="shared" si="0"/>
        <v>774018427.92715549</v>
      </c>
      <c r="H5" s="2">
        <f t="shared" si="0"/>
        <v>0</v>
      </c>
      <c r="I5" s="2">
        <f t="shared" si="0"/>
        <v>1388291903.3243556</v>
      </c>
      <c r="J5" s="2">
        <f t="shared" si="0"/>
        <v>745402468.67007065</v>
      </c>
      <c r="K5" s="2">
        <f t="shared" si="0"/>
        <v>0</v>
      </c>
      <c r="L5" s="2">
        <f t="shared" si="0"/>
        <v>169174564.59398305</v>
      </c>
      <c r="M5" s="2">
        <f t="shared" si="0"/>
        <v>0</v>
      </c>
      <c r="N5" s="2">
        <f t="shared" si="0"/>
        <v>0</v>
      </c>
      <c r="O5" s="158">
        <f t="shared" ref="O5" si="1">N28</f>
        <v>0</v>
      </c>
      <c r="P5" s="158" t="e">
        <f t="shared" ref="P5:R5" si="2">O28</f>
        <v>#REF!</v>
      </c>
      <c r="Q5" s="158" t="e">
        <f t="shared" si="2"/>
        <v>#REF!</v>
      </c>
      <c r="R5" s="158" t="e">
        <f t="shared" si="2"/>
        <v>#REF!</v>
      </c>
    </row>
    <row r="6" spans="1:18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58"/>
      <c r="Q6" s="156"/>
      <c r="R6" s="156"/>
    </row>
    <row r="7" spans="1:18">
      <c r="A7" s="77" t="s">
        <v>170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58"/>
      <c r="Q7" s="156"/>
      <c r="R7" s="156"/>
    </row>
    <row r="8" spans="1:18">
      <c r="A8" s="74" t="s">
        <v>181</v>
      </c>
      <c r="B8" s="2">
        <f>'Construction Costs'!D10*CPI!S91</f>
        <v>89073401.275014043</v>
      </c>
      <c r="C8" s="2">
        <f>'Construction Costs'!E10*CPI!S92</f>
        <v>102579285.24114306</v>
      </c>
      <c r="D8" s="2">
        <f>'Construction Costs'!F10*CPI!S93</f>
        <v>342061126.24832821</v>
      </c>
      <c r="E8" s="2">
        <f>'Construction Costs'!G10*CPI!S94</f>
        <v>704499236.93237197</v>
      </c>
      <c r="F8" s="2">
        <f>'Construction Costs'!H10*CPI!S95</f>
        <v>883822183.78205347</v>
      </c>
      <c r="G8" s="2">
        <f>'Construction Costs'!I10*CPI!S96</f>
        <v>1003501767.9271553</v>
      </c>
      <c r="H8" s="2">
        <f>'Construction Costs'!J10*CPI!S97</f>
        <v>1037778790.6863647</v>
      </c>
      <c r="I8" s="2">
        <f>'Construction Costs'!K10*CPI!S98</f>
        <v>848493609.65428483</v>
      </c>
      <c r="J8" s="2">
        <f>'Construction Costs'!L10*CPI!S99</f>
        <v>876006643.67007077</v>
      </c>
      <c r="K8" s="2">
        <f>'Construction Costs'!M10*CPI!S100</f>
        <v>680823908.90977764</v>
      </c>
      <c r="L8" s="2">
        <f>'Construction Costs'!N10*CPI!S101</f>
        <v>299778739.59398305</v>
      </c>
      <c r="M8" s="2">
        <f>'Construction Costs'!O10*CPI!S102</f>
        <v>0</v>
      </c>
      <c r="N8" s="2">
        <f>'Construction Costs'!P10*CPI!S103</f>
        <v>0</v>
      </c>
      <c r="O8" s="158" t="e">
        <f>'Construction Costs'!Q10*CPI!#REF!</f>
        <v>#REF!</v>
      </c>
      <c r="P8" s="2" t="e">
        <f>'Construction Costs'!Q10*CPI!#REF!</f>
        <v>#REF!</v>
      </c>
      <c r="Q8" s="158">
        <f>'Construction Costs'!R10*CPI!X103</f>
        <v>0</v>
      </c>
      <c r="R8" s="158">
        <f>'Construction Costs'!S10*CPI!Y103</f>
        <v>0</v>
      </c>
    </row>
    <row r="9" spans="1:18">
      <c r="A9" s="74" t="s">
        <v>188</v>
      </c>
      <c r="B9" s="2">
        <f>0.75*LineOfCredit!C4</f>
        <v>1449225.4926565134</v>
      </c>
      <c r="C9" s="2">
        <f>LineOfCredit!C4+LineOfCredit!C5</f>
        <v>4209748.4129039282</v>
      </c>
      <c r="D9" s="2">
        <f>LineOfCredit!C4+LineOfCredit!C5+LineOfCredit!C6</f>
        <v>12474242.194112133</v>
      </c>
      <c r="E9" s="2">
        <f>LineOfCredit!C4+LineOfCredit!C5+LineOfCredit!C6+LineOfCredit!C7</f>
        <v>28549688.742421433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158">
        <v>0</v>
      </c>
      <c r="P9" s="2">
        <v>0</v>
      </c>
      <c r="Q9" s="158">
        <v>0</v>
      </c>
      <c r="R9" s="158">
        <v>0</v>
      </c>
    </row>
    <row r="10" spans="1:18">
      <c r="A10" s="74" t="s">
        <v>192</v>
      </c>
      <c r="B10" s="2">
        <v>0</v>
      </c>
      <c r="C10" s="2">
        <v>0</v>
      </c>
      <c r="D10" s="2">
        <v>0</v>
      </c>
      <c r="E10" s="2">
        <f>LineOfCredit!B9</f>
        <v>1141987549.6968572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158">
        <v>0</v>
      </c>
      <c r="P10" s="2">
        <v>0</v>
      </c>
      <c r="Q10" s="158">
        <v>0</v>
      </c>
      <c r="R10" s="158">
        <v>0</v>
      </c>
    </row>
    <row r="11" spans="1:18">
      <c r="A11" s="74" t="s">
        <v>190</v>
      </c>
      <c r="B11" s="2">
        <v>0</v>
      </c>
      <c r="C11" s="2">
        <v>0</v>
      </c>
      <c r="D11" s="2">
        <v>0</v>
      </c>
      <c r="E11" s="2">
        <v>0</v>
      </c>
      <c r="F11" s="2">
        <f>'Construction Bonds'!$I$3</f>
        <v>102465515.05624264</v>
      </c>
      <c r="G11" s="2">
        <f>'Construction Bonds'!$I$3</f>
        <v>102465515.05624264</v>
      </c>
      <c r="H11" s="2">
        <f>'Construction Bonds'!$C$3+'Construction Bonds'!$C$6</f>
        <v>189284175.81667146</v>
      </c>
      <c r="I11" s="2">
        <f>'Construction Bonds'!$C$3+'Construction Bonds'!$C$6</f>
        <v>189284175.81667146</v>
      </c>
      <c r="J11" s="2">
        <f>'Construction Bonds'!$C$3+'Construction Bonds'!$C$6</f>
        <v>189284175.81667146</v>
      </c>
      <c r="K11" s="2">
        <f>'Construction Bonds'!$C$3+'Construction Bonds'!$C$6+'Construction Bonds'!$C$9</f>
        <v>218059947.7568219</v>
      </c>
      <c r="L11" s="2">
        <f>('Construction Bonds'!$C$3+'Construction Bonds'!$C$6+'Construction Bonds'!$C$9)*0.25</f>
        <v>54514986.939205475</v>
      </c>
      <c r="M11" s="2">
        <v>0</v>
      </c>
      <c r="N11" s="2">
        <v>0</v>
      </c>
      <c r="O11" s="158">
        <v>0</v>
      </c>
      <c r="P11" s="2">
        <v>0</v>
      </c>
      <c r="Q11" s="158">
        <v>0</v>
      </c>
      <c r="R11" s="158">
        <v>0</v>
      </c>
    </row>
    <row r="12" spans="1:18">
      <c r="A12" s="74" t="s">
        <v>201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f>'Construction Bonds'!B22</f>
        <v>5451498693.9205465</v>
      </c>
      <c r="M12" s="2">
        <v>0</v>
      </c>
      <c r="N12" s="2">
        <v>0</v>
      </c>
      <c r="O12" s="158">
        <v>0</v>
      </c>
      <c r="P12" s="2">
        <v>0</v>
      </c>
      <c r="Q12" s="158">
        <v>0</v>
      </c>
      <c r="R12" s="158">
        <v>0</v>
      </c>
    </row>
    <row r="13" spans="1:18">
      <c r="A13" s="74" t="s">
        <v>203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f>0.75*'Construction Bonds'!$C$22</f>
        <v>204546146.05929095</v>
      </c>
      <c r="M13" s="2">
        <f>'Construction Bonds'!$C$22</f>
        <v>272728194.74572128</v>
      </c>
      <c r="N13" s="2">
        <f>'Construction Bonds'!$C$22</f>
        <v>272728194.74572128</v>
      </c>
      <c r="O13" s="158">
        <f>'Construction Bonds'!$C$22</f>
        <v>272728194.74572128</v>
      </c>
      <c r="P13" s="2">
        <f>'Construction Bonds'!$C$22</f>
        <v>272728194.74572128</v>
      </c>
      <c r="Q13" s="158">
        <f>'Construction Bonds'!$C$22</f>
        <v>272728194.74572128</v>
      </c>
      <c r="R13" s="158">
        <v>0</v>
      </c>
    </row>
    <row r="14" spans="1:18">
      <c r="A14" s="74" t="s">
        <v>204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f>'USDA Low Interest Loan'!$A$9</f>
        <v>42852939.799999997</v>
      </c>
      <c r="N14" s="2">
        <f>'USDA Low Interest Loan'!$A$9</f>
        <v>42852939.799999997</v>
      </c>
      <c r="O14" s="158">
        <f>'USDA Low Interest Loan'!$A$9</f>
        <v>42852939.799999997</v>
      </c>
      <c r="P14" s="2">
        <v>0</v>
      </c>
      <c r="Q14" s="158">
        <v>0</v>
      </c>
      <c r="R14" s="158">
        <v>0</v>
      </c>
    </row>
    <row r="15" spans="1:18">
      <c r="A15" s="74" t="s">
        <v>206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f>0.75*'O&amp;M Cost Estimate'!$G$16+WaterQualMitigationMonitoring!$B$6</f>
        <v>6087628.8659793809</v>
      </c>
      <c r="M15" s="2">
        <f>'O&amp;M Cost Estimate'!$G$16+WaterQualMitigationMonitoring!$B$6</f>
        <v>7515463.9175257739</v>
      </c>
      <c r="N15" s="2">
        <f>'O&amp;M Cost Estimate'!$G$16+WaterQualMitigationMonitoring!$B$6</f>
        <v>7515463.9175257739</v>
      </c>
      <c r="O15" s="158">
        <f>'O&amp;M Cost Estimate'!$G$16+WaterQualMitigationMonitoring!$B$6</f>
        <v>7515463.9175257739</v>
      </c>
      <c r="P15" s="2">
        <f>'O&amp;M Cost Estimate'!$G$16+WaterQualMitigationMonitoring!$B$6</f>
        <v>7515463.9175257739</v>
      </c>
      <c r="Q15" s="158">
        <f>'O&amp;M Cost Estimate'!$G$16+WaterQualMitigationMonitoring!$B$6</f>
        <v>7515463.9175257739</v>
      </c>
      <c r="R15" s="158">
        <f>'O&amp;M Cost Estimate'!$G$16+WaterQualMitigationMonitoring!$B$6</f>
        <v>7515463.9175257739</v>
      </c>
    </row>
    <row r="16" spans="1:18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58"/>
      <c r="Q16" s="156"/>
    </row>
    <row r="17" spans="1:18">
      <c r="A17" s="77" t="s">
        <v>182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58"/>
      <c r="Q17" s="156"/>
    </row>
    <row r="18" spans="1:18">
      <c r="A18" s="74" t="s">
        <v>76</v>
      </c>
      <c r="B18" s="2">
        <f>'Prop 1 Funding'!F11</f>
        <v>11481375</v>
      </c>
      <c r="C18" s="2">
        <f>'Prop 1 Funding'!G11</f>
        <v>11481375</v>
      </c>
      <c r="D18" s="2">
        <f>'Prop 1 Funding'!H11</f>
        <v>11481375</v>
      </c>
      <c r="E18" s="2">
        <f>'Prop 1 Funding'!I11</f>
        <v>11481375</v>
      </c>
      <c r="F18" s="2">
        <f>'Prop 1 Funding'!J13</f>
        <v>113190285</v>
      </c>
      <c r="G18" s="2">
        <f>'Prop 1 Funding'!K13</f>
        <v>104483340</v>
      </c>
      <c r="H18" s="2">
        <f>'Prop 1 Funding'!L13</f>
        <v>130604175</v>
      </c>
      <c r="I18" s="2">
        <f>'Prop 1 Funding'!M13</f>
        <v>130604175</v>
      </c>
      <c r="J18" s="2">
        <f>'Prop 1 Funding'!N13</f>
        <v>130604175</v>
      </c>
      <c r="K18" s="2">
        <f>'Prop 1 Funding'!O13</f>
        <v>130604175</v>
      </c>
      <c r="L18" s="2">
        <f>'Prop 1 Funding'!P13</f>
        <v>130604175</v>
      </c>
      <c r="M18" s="2">
        <v>0</v>
      </c>
      <c r="N18" s="2">
        <v>0</v>
      </c>
      <c r="O18" s="158">
        <v>0</v>
      </c>
      <c r="P18" s="2">
        <v>0</v>
      </c>
      <c r="Q18" s="158">
        <v>0</v>
      </c>
      <c r="R18" s="158">
        <v>0</v>
      </c>
    </row>
    <row r="19" spans="1:18">
      <c r="A19" s="74" t="s">
        <v>183</v>
      </c>
      <c r="B19" s="2">
        <v>0</v>
      </c>
      <c r="C19" s="2">
        <v>0</v>
      </c>
      <c r="D19" s="2">
        <v>0</v>
      </c>
      <c r="E19" s="2">
        <f>'USDA Low Interest Loan'!F16</f>
        <v>50000000</v>
      </c>
      <c r="F19" s="2">
        <f>'USDA Low Interest Loan'!G16</f>
        <v>125000000</v>
      </c>
      <c r="G19" s="2">
        <f>'USDA Low Interest Loan'!H16</f>
        <v>125000000</v>
      </c>
      <c r="H19" s="2">
        <f>'USDA Low Interest Loan'!I16</f>
        <v>125000000</v>
      </c>
      <c r="I19" s="2">
        <f>'USDA Low Interest Loan'!J16</f>
        <v>75000000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158">
        <v>0</v>
      </c>
      <c r="P19" s="2">
        <v>0</v>
      </c>
      <c r="Q19" s="158">
        <v>0</v>
      </c>
      <c r="R19" s="158">
        <v>0</v>
      </c>
    </row>
    <row r="20" spans="1:18">
      <c r="A20" s="74" t="s">
        <v>184</v>
      </c>
      <c r="B20" s="2">
        <f>SUM(B8)-SUM(B18:B19,B5,B26)</f>
        <v>77292026.275014043</v>
      </c>
      <c r="C20" s="2">
        <f>SUM(C8)-SUM(C18:C19,C5,C26)</f>
        <v>91097910.241143063</v>
      </c>
      <c r="D20" s="2">
        <f>SUM(D8)-SUM(D18:D19,D5,D26)</f>
        <v>330579751.24832821</v>
      </c>
      <c r="E20" s="2">
        <f>SUM(E8)-SUM(E18:E19,E26)</f>
        <v>643017861.93237197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158">
        <v>0</v>
      </c>
      <c r="P20" s="2">
        <v>0</v>
      </c>
      <c r="Q20" s="158">
        <v>0</v>
      </c>
      <c r="R20" s="158">
        <v>0</v>
      </c>
    </row>
    <row r="21" spans="1:18">
      <c r="A21" s="74" t="s">
        <v>185</v>
      </c>
      <c r="B21" s="2">
        <v>0</v>
      </c>
      <c r="C21" s="2">
        <v>0</v>
      </c>
      <c r="D21" s="2">
        <v>0</v>
      </c>
      <c r="E21" s="2">
        <f>'Construction Bonds'!B3</f>
        <v>2561637876.4060659</v>
      </c>
      <c r="F21" s="2">
        <v>0</v>
      </c>
      <c r="G21" s="2">
        <v>0</v>
      </c>
      <c r="H21" s="2">
        <f>'Construction Bonds'!B6</f>
        <v>2170466519.0107203</v>
      </c>
      <c r="I21" s="2">
        <v>0</v>
      </c>
      <c r="J21" s="2">
        <v>0</v>
      </c>
      <c r="K21" s="2">
        <f>'Construction Bonds'!B9</f>
        <v>719394298.5037607</v>
      </c>
      <c r="L21" s="2">
        <v>0</v>
      </c>
      <c r="M21" s="2">
        <v>0</v>
      </c>
      <c r="N21" s="2">
        <v>0</v>
      </c>
      <c r="O21" s="158">
        <v>0</v>
      </c>
      <c r="P21" s="2">
        <v>0</v>
      </c>
      <c r="Q21" s="158">
        <v>0</v>
      </c>
      <c r="R21" s="158">
        <v>0</v>
      </c>
    </row>
    <row r="22" spans="1:18">
      <c r="A22" s="74" t="s">
        <v>186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f>'Construction Bonds'!B22</f>
        <v>5451498693.9205465</v>
      </c>
      <c r="M22" s="2">
        <v>0</v>
      </c>
      <c r="N22" s="2">
        <v>0</v>
      </c>
      <c r="O22" s="158">
        <v>0</v>
      </c>
      <c r="P22" s="2">
        <v>0</v>
      </c>
      <c r="Q22" s="158">
        <v>0</v>
      </c>
      <c r="R22" s="158">
        <v>0</v>
      </c>
    </row>
    <row r="23" spans="1:18">
      <c r="Q23" s="156"/>
      <c r="R23" s="156"/>
    </row>
    <row r="24" spans="1:18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58"/>
      <c r="Q24" s="156"/>
      <c r="R24" s="156"/>
    </row>
    <row r="25" spans="1:18" ht="45">
      <c r="A25" s="74" t="s">
        <v>205</v>
      </c>
      <c r="B25" s="2">
        <f>SUM(B9,B11,B13:B15)</f>
        <v>1449225.4926565134</v>
      </c>
      <c r="C25" s="115">
        <f t="shared" ref="C25:P25" si="3">SUM(C9,C11,C13:C15)</f>
        <v>4209748.4129039282</v>
      </c>
      <c r="D25" s="115">
        <f t="shared" si="3"/>
        <v>12474242.194112133</v>
      </c>
      <c r="E25" s="115">
        <f t="shared" si="3"/>
        <v>28549688.742421433</v>
      </c>
      <c r="F25" s="115">
        <f t="shared" si="3"/>
        <v>102465515.05624264</v>
      </c>
      <c r="G25" s="115">
        <f t="shared" si="3"/>
        <v>102465515.05624264</v>
      </c>
      <c r="H25" s="115">
        <f t="shared" si="3"/>
        <v>189284175.81667146</v>
      </c>
      <c r="I25" s="115">
        <f t="shared" si="3"/>
        <v>189284175.81667146</v>
      </c>
      <c r="J25" s="115">
        <f t="shared" si="3"/>
        <v>189284175.81667146</v>
      </c>
      <c r="K25" s="115">
        <f t="shared" si="3"/>
        <v>218059947.7568219</v>
      </c>
      <c r="L25" s="115">
        <f t="shared" si="3"/>
        <v>265148761.86447579</v>
      </c>
      <c r="M25" s="115">
        <f t="shared" si="3"/>
        <v>323096598.46324706</v>
      </c>
      <c r="N25" s="115">
        <f t="shared" si="3"/>
        <v>323096598.46324706</v>
      </c>
      <c r="O25" s="158">
        <f t="shared" ref="O25" si="4">SUM(O9,O11,O13:O15)</f>
        <v>323096598.46324706</v>
      </c>
      <c r="P25" s="115">
        <f t="shared" si="3"/>
        <v>280243658.66324705</v>
      </c>
      <c r="Q25" s="158">
        <f t="shared" ref="Q25:R25" si="5">SUM(Q9,Q11,Q13:Q15)</f>
        <v>280243658.66324705</v>
      </c>
      <c r="R25" s="158">
        <f t="shared" si="5"/>
        <v>7515463.9175257739</v>
      </c>
    </row>
    <row r="26" spans="1:18">
      <c r="A26" s="74" t="s">
        <v>219</v>
      </c>
      <c r="B26" s="2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5">
        <v>0</v>
      </c>
      <c r="M26" s="115">
        <v>0</v>
      </c>
      <c r="N26" s="115">
        <v>0</v>
      </c>
      <c r="O26" s="158">
        <v>1</v>
      </c>
      <c r="P26" s="115">
        <v>0</v>
      </c>
      <c r="Q26" s="158">
        <v>0</v>
      </c>
      <c r="R26" s="158">
        <v>1</v>
      </c>
    </row>
    <row r="27" spans="1:18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58"/>
      <c r="Q27" s="156"/>
      <c r="R27" s="156"/>
    </row>
    <row r="28" spans="1:18">
      <c r="A28" s="74" t="s">
        <v>189</v>
      </c>
      <c r="B28" s="2">
        <f>SUM(B5,B18:B26)-SUM(B8:B12)</f>
        <v>0</v>
      </c>
      <c r="C28" s="2">
        <f>SUM(C5,C18:C26)-SUM(C8:C12)</f>
        <v>0</v>
      </c>
      <c r="D28" s="2">
        <f>SUM(D5,D18:D26)-SUM(D8:D12)</f>
        <v>0</v>
      </c>
      <c r="E28" s="2">
        <f>SUM(E5,E18:E26)-SUM(E8:E12)</f>
        <v>1419650326.709209</v>
      </c>
      <c r="F28" s="2">
        <f t="shared" ref="F28:I28" si="6">SUM(F5,F18:F25)-SUM(F8:F12)</f>
        <v>774018427.92715549</v>
      </c>
      <c r="G28" s="2">
        <f t="shared" si="6"/>
        <v>0</v>
      </c>
      <c r="H28" s="2">
        <f t="shared" si="6"/>
        <v>1388291903.3243556</v>
      </c>
      <c r="I28" s="2">
        <f t="shared" si="6"/>
        <v>745402468.67007065</v>
      </c>
      <c r="J28" s="2">
        <f>SUM(J5,J18:J25)-SUM(J8:J15)</f>
        <v>0</v>
      </c>
      <c r="K28" s="2">
        <f t="shared" ref="K28:P28" si="7">SUM(K5,K18:K25)-SUM(K8:K15)</f>
        <v>169174564.59398305</v>
      </c>
      <c r="L28" s="2">
        <f t="shared" si="7"/>
        <v>0</v>
      </c>
      <c r="M28" s="2">
        <f t="shared" si="7"/>
        <v>0</v>
      </c>
      <c r="N28" s="2">
        <f t="shared" si="7"/>
        <v>0</v>
      </c>
      <c r="O28" s="158" t="e">
        <f t="shared" ref="O28" si="8">SUM(O5,O18:O25)-SUM(O8:O15)</f>
        <v>#REF!</v>
      </c>
      <c r="P28" s="2" t="e">
        <f t="shared" si="7"/>
        <v>#REF!</v>
      </c>
      <c r="Q28" s="158" t="e">
        <f t="shared" ref="Q28:R28" si="9">SUM(Q5,Q18:Q25)-SUM(Q8:Q15)</f>
        <v>#REF!</v>
      </c>
      <c r="R28" s="158" t="e">
        <f t="shared" si="9"/>
        <v>#REF!</v>
      </c>
    </row>
    <row r="29" spans="1:18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58"/>
    </row>
    <row r="30" spans="1:18">
      <c r="B30" s="2"/>
      <c r="C30" s="2"/>
      <c r="D30" s="2"/>
      <c r="E30" s="20"/>
      <c r="F30" s="2"/>
      <c r="G30" s="2"/>
      <c r="H30" s="2"/>
      <c r="I30" s="2"/>
      <c r="J30" s="2"/>
      <c r="K30" s="2"/>
      <c r="L30" s="2"/>
      <c r="M30" s="2"/>
      <c r="N30" s="2"/>
      <c r="O30" s="158"/>
    </row>
    <row r="31" spans="1:18">
      <c r="A31" s="74" t="s">
        <v>200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58"/>
    </row>
    <row r="32" spans="1:18">
      <c r="A32" s="74">
        <v>425000</v>
      </c>
      <c r="B32" s="20">
        <f>(B25+B26)/$A$32</f>
        <v>3.4099423356623841</v>
      </c>
      <c r="C32" s="20">
        <f t="shared" ref="C32:P32" si="10">(C25+C26)/$A$32</f>
        <v>9.9052903833033596</v>
      </c>
      <c r="D32" s="20">
        <f t="shared" si="10"/>
        <v>29.351158103793253</v>
      </c>
      <c r="E32" s="20">
        <f t="shared" si="10"/>
        <v>67.175738217462197</v>
      </c>
      <c r="F32" s="20">
        <f t="shared" si="10"/>
        <v>241.09532954410034</v>
      </c>
      <c r="G32" s="20">
        <f t="shared" si="10"/>
        <v>241.09532954410034</v>
      </c>
      <c r="H32" s="20">
        <f t="shared" si="10"/>
        <v>445.37453133334463</v>
      </c>
      <c r="I32" s="20">
        <f t="shared" si="10"/>
        <v>445.37453133334463</v>
      </c>
      <c r="J32" s="20">
        <f t="shared" si="10"/>
        <v>445.37453133334463</v>
      </c>
      <c r="K32" s="20">
        <f t="shared" si="10"/>
        <v>513.08223001605154</v>
      </c>
      <c r="L32" s="20">
        <f t="shared" si="10"/>
        <v>623.87943968111949</v>
      </c>
      <c r="M32" s="20">
        <f t="shared" si="10"/>
        <v>760.22729050175781</v>
      </c>
      <c r="N32" s="20">
        <f t="shared" si="10"/>
        <v>760.22729050175781</v>
      </c>
      <c r="O32" s="20">
        <f t="shared" ref="O32" si="11">(O25+O26)/$A$32</f>
        <v>760.22729285469893</v>
      </c>
      <c r="P32" s="20">
        <f t="shared" si="10"/>
        <v>659.3968439135225</v>
      </c>
      <c r="Q32" s="20">
        <f t="shared" ref="Q32:R32" si="12">(Q25+Q26)/$A$32</f>
        <v>659.3968439135225</v>
      </c>
      <c r="R32" s="20">
        <f t="shared" si="12"/>
        <v>17.683446864766527</v>
      </c>
    </row>
    <row r="33" spans="1:18">
      <c r="A33" s="74">
        <v>396950</v>
      </c>
      <c r="B33" s="20">
        <f>(B25+B26)/$A$33</f>
        <v>3.6509018583109039</v>
      </c>
      <c r="C33" s="20">
        <f t="shared" ref="C33:P33" si="13">(C25+C26)/$A$33</f>
        <v>10.605235956427581</v>
      </c>
      <c r="D33" s="20">
        <f t="shared" si="13"/>
        <v>31.425222809200488</v>
      </c>
      <c r="E33" s="20">
        <f t="shared" si="13"/>
        <v>71.922631924477727</v>
      </c>
      <c r="F33" s="20">
        <f t="shared" si="13"/>
        <v>258.13204447976483</v>
      </c>
      <c r="G33" s="20">
        <f t="shared" si="13"/>
        <v>258.13204447976483</v>
      </c>
      <c r="H33" s="20">
        <f t="shared" si="13"/>
        <v>476.84639329051885</v>
      </c>
      <c r="I33" s="20">
        <f t="shared" si="13"/>
        <v>476.84639329051885</v>
      </c>
      <c r="J33" s="20">
        <f t="shared" si="13"/>
        <v>476.84639329051885</v>
      </c>
      <c r="K33" s="20">
        <f t="shared" si="13"/>
        <v>549.33857603431636</v>
      </c>
      <c r="L33" s="20">
        <f t="shared" si="13"/>
        <v>667.96513884488172</v>
      </c>
      <c r="M33" s="20">
        <f t="shared" si="13"/>
        <v>813.94784850295264</v>
      </c>
      <c r="N33" s="20">
        <f t="shared" si="13"/>
        <v>813.94784850295264</v>
      </c>
      <c r="O33" s="20">
        <f t="shared" ref="O33" si="14">(O25+O26)/$A$33</f>
        <v>813.94785102216167</v>
      </c>
      <c r="P33" s="20">
        <f t="shared" si="13"/>
        <v>705.99233823717611</v>
      </c>
      <c r="Q33" s="20">
        <f t="shared" ref="Q33:R33" si="15">(Q25+Q26)/$A$33</f>
        <v>705.99233823717611</v>
      </c>
      <c r="R33" s="20">
        <f t="shared" si="15"/>
        <v>18.933026621805702</v>
      </c>
    </row>
    <row r="34" spans="1:18">
      <c r="A34" s="74">
        <v>385900</v>
      </c>
      <c r="B34" s="20">
        <f>(B25+B26)/$A$34</f>
        <v>3.7554431009497624</v>
      </c>
      <c r="C34" s="20">
        <f t="shared" ref="C34:P34" si="16">(C25+C26)/$A$34</f>
        <v>10.90891011377022</v>
      </c>
      <c r="D34" s="20">
        <f t="shared" si="16"/>
        <v>32.325063990961738</v>
      </c>
      <c r="E34" s="20">
        <f t="shared" si="16"/>
        <v>73.982090547865852</v>
      </c>
      <c r="F34" s="20">
        <f t="shared" si="16"/>
        <v>265.5234906873352</v>
      </c>
      <c r="G34" s="20">
        <f t="shared" si="16"/>
        <v>265.5234906873352</v>
      </c>
      <c r="H34" s="20">
        <f t="shared" si="16"/>
        <v>490.50058516888174</v>
      </c>
      <c r="I34" s="20">
        <f t="shared" si="16"/>
        <v>490.50058516888174</v>
      </c>
      <c r="J34" s="20">
        <f t="shared" si="16"/>
        <v>490.50058516888174</v>
      </c>
      <c r="K34" s="20">
        <f t="shared" si="16"/>
        <v>565.0685352599686</v>
      </c>
      <c r="L34" s="20">
        <f t="shared" si="16"/>
        <v>687.09189392193775</v>
      </c>
      <c r="M34" s="20">
        <f t="shared" si="16"/>
        <v>837.25472522220025</v>
      </c>
      <c r="N34" s="20">
        <f t="shared" si="16"/>
        <v>837.25472522220025</v>
      </c>
      <c r="O34" s="20">
        <f t="shared" ref="O34" si="17">(O25+O26)/$A$34</f>
        <v>837.25472781354517</v>
      </c>
      <c r="P34" s="20">
        <f t="shared" si="16"/>
        <v>726.20797787832873</v>
      </c>
      <c r="Q34" s="20">
        <f t="shared" ref="Q34:R34" si="18">(Q25+Q26)/$A$34</f>
        <v>726.20797787832873</v>
      </c>
      <c r="R34" s="20">
        <f t="shared" si="18"/>
        <v>19.475161745337584</v>
      </c>
    </row>
    <row r="35" spans="1:18">
      <c r="A35" s="74">
        <v>374850</v>
      </c>
      <c r="B35" s="20">
        <f>(B25+B26)/$A$35</f>
        <v>3.8661477728598461</v>
      </c>
      <c r="C35" s="20">
        <f t="shared" ref="C35:P35" si="19">(C25+C26)/$A$35</f>
        <v>11.230487962928979</v>
      </c>
      <c r="D35" s="20">
        <f t="shared" si="19"/>
        <v>33.277957033779202</v>
      </c>
      <c r="E35" s="20">
        <f t="shared" si="19"/>
        <v>76.16296850052403</v>
      </c>
      <c r="F35" s="20">
        <f t="shared" si="19"/>
        <v>273.35071376882127</v>
      </c>
      <c r="G35" s="20">
        <f t="shared" si="19"/>
        <v>273.35071376882127</v>
      </c>
      <c r="H35" s="20">
        <f t="shared" si="19"/>
        <v>504.95978609222743</v>
      </c>
      <c r="I35" s="20">
        <f t="shared" si="19"/>
        <v>504.95978609222743</v>
      </c>
      <c r="J35" s="20">
        <f t="shared" si="19"/>
        <v>504.95978609222743</v>
      </c>
      <c r="K35" s="20">
        <f t="shared" si="19"/>
        <v>581.72588437194054</v>
      </c>
      <c r="L35" s="20">
        <f t="shared" si="19"/>
        <v>707.34630349333281</v>
      </c>
      <c r="M35" s="20">
        <f t="shared" si="19"/>
        <v>861.93570351673213</v>
      </c>
      <c r="N35" s="20">
        <f t="shared" si="19"/>
        <v>861.93570351673213</v>
      </c>
      <c r="O35" s="20">
        <f t="shared" ref="O35" si="20">(O25+O26)/$A$35</f>
        <v>861.93570618446597</v>
      </c>
      <c r="P35" s="20">
        <f t="shared" si="19"/>
        <v>747.61546928970802</v>
      </c>
      <c r="Q35" s="20">
        <f t="shared" ref="Q35:R35" si="21">(Q25+Q26)/$A$35</f>
        <v>747.61546928970802</v>
      </c>
      <c r="R35" s="20">
        <f t="shared" si="21"/>
        <v>20.049259483862276</v>
      </c>
    </row>
    <row r="36" spans="1:18" s="91" customFormat="1">
      <c r="A36" s="91">
        <v>362100</v>
      </c>
      <c r="B36" s="39">
        <f>(B25+B26)/$A$36</f>
        <v>4.0022797366929392</v>
      </c>
      <c r="C36" s="39">
        <f t="shared" ref="C36:P36" si="22">(C25+C26)/$A$36</f>
        <v>11.625927679933522</v>
      </c>
      <c r="D36" s="39">
        <f t="shared" si="22"/>
        <v>34.449716084264381</v>
      </c>
      <c r="E36" s="39">
        <f t="shared" si="22"/>
        <v>78.844763166035435</v>
      </c>
      <c r="F36" s="39">
        <f t="shared" si="22"/>
        <v>282.9757389015262</v>
      </c>
      <c r="G36" s="39">
        <f t="shared" si="22"/>
        <v>282.9757389015262</v>
      </c>
      <c r="H36" s="39">
        <f t="shared" si="22"/>
        <v>522.74006025040444</v>
      </c>
      <c r="I36" s="39">
        <f t="shared" si="22"/>
        <v>522.74006025040444</v>
      </c>
      <c r="J36" s="39">
        <f t="shared" si="22"/>
        <v>522.74006025040444</v>
      </c>
      <c r="K36" s="39">
        <f t="shared" si="22"/>
        <v>602.20919015968491</v>
      </c>
      <c r="L36" s="39">
        <f t="shared" si="22"/>
        <v>732.2528634754924</v>
      </c>
      <c r="M36" s="39">
        <f t="shared" si="22"/>
        <v>892.28555223211004</v>
      </c>
      <c r="N36" s="39">
        <f t="shared" si="22"/>
        <v>892.28555223211004</v>
      </c>
      <c r="O36" s="39">
        <f t="shared" ref="O36" si="23">(O25+O26)/$A$36</f>
        <v>892.28555499377808</v>
      </c>
      <c r="P36" s="39">
        <f t="shared" si="22"/>
        <v>773.93995764497947</v>
      </c>
      <c r="Q36" s="39">
        <f t="shared" ref="Q36:R36" si="24">(Q25+Q26)/$A$36</f>
        <v>773.93995764497947</v>
      </c>
      <c r="R36" s="39">
        <f t="shared" si="24"/>
        <v>20.755219324843342</v>
      </c>
    </row>
    <row r="37" spans="1:18">
      <c r="A37" s="74">
        <v>331500</v>
      </c>
      <c r="B37" s="20">
        <f>(B25+B26)/$A$37</f>
        <v>4.3717209431569026</v>
      </c>
      <c r="C37" s="20">
        <f t="shared" ref="C37:P37" si="25">(C25+C26)/$A$37</f>
        <v>12.699090235004308</v>
      </c>
      <c r="D37" s="20">
        <f t="shared" si="25"/>
        <v>37.62968987665802</v>
      </c>
      <c r="E37" s="20">
        <f t="shared" si="25"/>
        <v>86.122741304438719</v>
      </c>
      <c r="F37" s="20">
        <f t="shared" si="25"/>
        <v>309.09657633859018</v>
      </c>
      <c r="G37" s="20">
        <f t="shared" si="25"/>
        <v>309.09657633859018</v>
      </c>
      <c r="H37" s="20">
        <f t="shared" si="25"/>
        <v>570.99298888890337</v>
      </c>
      <c r="I37" s="20">
        <f t="shared" si="25"/>
        <v>570.99298888890337</v>
      </c>
      <c r="J37" s="20">
        <f t="shared" si="25"/>
        <v>570.99298888890337</v>
      </c>
      <c r="K37" s="20">
        <f t="shared" si="25"/>
        <v>657.79773078980963</v>
      </c>
      <c r="L37" s="20">
        <f t="shared" si="25"/>
        <v>799.84543548861473</v>
      </c>
      <c r="M37" s="20">
        <f t="shared" si="25"/>
        <v>974.65037243815107</v>
      </c>
      <c r="N37" s="20">
        <f t="shared" si="25"/>
        <v>974.65037243815107</v>
      </c>
      <c r="O37" s="20">
        <f t="shared" ref="O37" si="26">(O25+O26)/$A$37</f>
        <v>974.65037545474229</v>
      </c>
      <c r="P37" s="20">
        <f t="shared" si="25"/>
        <v>845.38056911990066</v>
      </c>
      <c r="Q37" s="20">
        <f t="shared" ref="Q37:R37" si="27">(Q25+Q26)/$A$37</f>
        <v>845.38056911990066</v>
      </c>
      <c r="R37" s="20">
        <f t="shared" si="27"/>
        <v>22.671085724059651</v>
      </c>
    </row>
    <row r="38" spans="1:18">
      <c r="A38" s="74">
        <v>303450</v>
      </c>
      <c r="B38" s="20">
        <f>(B25+B26)/$A$38</f>
        <v>4.7758296017680451</v>
      </c>
      <c r="C38" s="20">
        <f t="shared" ref="C38:P38" si="28">(C25+C26)/$A$38</f>
        <v>13.872955718912269</v>
      </c>
      <c r="D38" s="20">
        <f t="shared" si="28"/>
        <v>41.10806457113901</v>
      </c>
      <c r="E38" s="20">
        <f t="shared" si="28"/>
        <v>94.083666971235573</v>
      </c>
      <c r="F38" s="20">
        <f t="shared" si="28"/>
        <v>337.66852877324976</v>
      </c>
      <c r="G38" s="20">
        <f t="shared" si="28"/>
        <v>337.66852877324976</v>
      </c>
      <c r="H38" s="20">
        <f t="shared" si="28"/>
        <v>623.77385340804562</v>
      </c>
      <c r="I38" s="20">
        <f t="shared" si="28"/>
        <v>623.77385340804562</v>
      </c>
      <c r="J38" s="20">
        <f t="shared" si="28"/>
        <v>623.77385340804562</v>
      </c>
      <c r="K38" s="20">
        <f t="shared" si="28"/>
        <v>718.60256304769121</v>
      </c>
      <c r="L38" s="20">
        <f t="shared" si="28"/>
        <v>873.78072784470521</v>
      </c>
      <c r="M38" s="20">
        <f t="shared" si="28"/>
        <v>1064.7441043441986</v>
      </c>
      <c r="N38" s="20">
        <f t="shared" si="28"/>
        <v>1064.7441043441986</v>
      </c>
      <c r="O38" s="20">
        <f t="shared" ref="O38" si="29">(O25+O26)/$A$38</f>
        <v>1064.7441076396344</v>
      </c>
      <c r="P38" s="20">
        <f t="shared" si="28"/>
        <v>923.52499147552169</v>
      </c>
      <c r="Q38" s="20">
        <f t="shared" ref="Q38:R38" si="30">(Q25+Q26)/$A$38</f>
        <v>923.52499147552169</v>
      </c>
      <c r="R38" s="20">
        <f t="shared" si="30"/>
        <v>24.766732303594576</v>
      </c>
    </row>
    <row r="39" spans="1:18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58"/>
      <c r="Q39" s="156"/>
      <c r="R39" s="156"/>
    </row>
    <row r="40" spans="1:18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58"/>
      <c r="Q40" s="156"/>
      <c r="R40" s="156"/>
    </row>
    <row r="41" spans="1:18">
      <c r="A41" s="74" t="s">
        <v>229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58"/>
      <c r="Q41" s="156"/>
      <c r="R41" s="156"/>
    </row>
    <row r="42" spans="1:18">
      <c r="A42" s="66">
        <v>5.0000000000000001E-3</v>
      </c>
      <c r="B42" s="43">
        <f>B25*$A$42</f>
        <v>7246.1274632825671</v>
      </c>
      <c r="C42" s="43">
        <f t="shared" ref="C42:P42" si="31">C25*$A$42</f>
        <v>21048.74206451964</v>
      </c>
      <c r="D42" s="43">
        <f t="shared" si="31"/>
        <v>62371.210970560671</v>
      </c>
      <c r="E42" s="43">
        <f t="shared" si="31"/>
        <v>142748.44371210717</v>
      </c>
      <c r="F42" s="43">
        <f t="shared" si="31"/>
        <v>512327.57528121321</v>
      </c>
      <c r="G42" s="43">
        <f t="shared" si="31"/>
        <v>512327.57528121321</v>
      </c>
      <c r="H42" s="43">
        <f t="shared" si="31"/>
        <v>946420.87908335729</v>
      </c>
      <c r="I42" s="43">
        <f t="shared" si="31"/>
        <v>946420.87908335729</v>
      </c>
      <c r="J42" s="43">
        <f t="shared" si="31"/>
        <v>946420.87908335729</v>
      </c>
      <c r="K42" s="43">
        <f t="shared" si="31"/>
        <v>1090299.7387841095</v>
      </c>
      <c r="L42" s="43">
        <f t="shared" si="31"/>
        <v>1325743.8093223791</v>
      </c>
      <c r="M42" s="43">
        <f t="shared" si="31"/>
        <v>1615482.9923162353</v>
      </c>
      <c r="N42" s="43">
        <f t="shared" si="31"/>
        <v>1615482.9923162353</v>
      </c>
      <c r="O42" s="43">
        <f t="shared" ref="O42" si="32">O25*$A$42</f>
        <v>1615482.9923162353</v>
      </c>
      <c r="P42" s="43">
        <f t="shared" si="31"/>
        <v>1401218.2933162353</v>
      </c>
      <c r="Q42" s="43">
        <f t="shared" ref="Q42:R42" si="33">Q25*$A$42</f>
        <v>1401218.2933162353</v>
      </c>
      <c r="R42" s="43">
        <f t="shared" si="33"/>
        <v>37577.319587628874</v>
      </c>
    </row>
    <row r="43" spans="1:18">
      <c r="A43" s="66">
        <v>7.4999999999999997E-3</v>
      </c>
      <c r="B43" s="43">
        <f>B25*$A$43</f>
        <v>10869.191194923849</v>
      </c>
      <c r="C43" s="43">
        <f t="shared" ref="C43:P43" si="34">C25*$A$43</f>
        <v>31573.11309677946</v>
      </c>
      <c r="D43" s="43">
        <f t="shared" si="34"/>
        <v>93556.816455840992</v>
      </c>
      <c r="E43" s="43">
        <f t="shared" si="34"/>
        <v>214122.66556816074</v>
      </c>
      <c r="F43" s="43">
        <f t="shared" si="34"/>
        <v>768491.36292181979</v>
      </c>
      <c r="G43" s="43">
        <f t="shared" si="34"/>
        <v>768491.36292181979</v>
      </c>
      <c r="H43" s="43">
        <f t="shared" si="34"/>
        <v>1419631.3186250359</v>
      </c>
      <c r="I43" s="43">
        <f t="shared" si="34"/>
        <v>1419631.3186250359</v>
      </c>
      <c r="J43" s="43">
        <f t="shared" si="34"/>
        <v>1419631.3186250359</v>
      </c>
      <c r="K43" s="43">
        <f t="shared" si="34"/>
        <v>1635449.6081761641</v>
      </c>
      <c r="L43" s="43">
        <f t="shared" si="34"/>
        <v>1988615.7139835684</v>
      </c>
      <c r="M43" s="43">
        <f t="shared" si="34"/>
        <v>2423224.4884743528</v>
      </c>
      <c r="N43" s="43">
        <f t="shared" si="34"/>
        <v>2423224.4884743528</v>
      </c>
      <c r="O43" s="43">
        <f t="shared" ref="O43" si="35">O25*$A$43</f>
        <v>2423224.4884743528</v>
      </c>
      <c r="P43" s="43">
        <f t="shared" si="34"/>
        <v>2101827.4399743527</v>
      </c>
      <c r="Q43" s="43">
        <f t="shared" ref="Q43:R43" si="36">Q25*$A$43</f>
        <v>2101827.4399743527</v>
      </c>
      <c r="R43" s="43">
        <f t="shared" si="36"/>
        <v>56365.9793814433</v>
      </c>
    </row>
    <row r="44" spans="1:18">
      <c r="A44" s="66">
        <v>0.01</v>
      </c>
      <c r="B44" s="43">
        <f>B25*$A$44</f>
        <v>14492.254926565134</v>
      </c>
      <c r="C44" s="43">
        <f t="shared" ref="C44:P44" si="37">C25*$A$44</f>
        <v>42097.48412903928</v>
      </c>
      <c r="D44" s="43">
        <f t="shared" si="37"/>
        <v>124742.42194112134</v>
      </c>
      <c r="E44" s="43">
        <f t="shared" si="37"/>
        <v>285496.88742421434</v>
      </c>
      <c r="F44" s="43">
        <f t="shared" si="37"/>
        <v>1024655.1505624264</v>
      </c>
      <c r="G44" s="43">
        <f t="shared" si="37"/>
        <v>1024655.1505624264</v>
      </c>
      <c r="H44" s="43">
        <f t="shared" si="37"/>
        <v>1892841.7581667146</v>
      </c>
      <c r="I44" s="43">
        <f t="shared" si="37"/>
        <v>1892841.7581667146</v>
      </c>
      <c r="J44" s="43">
        <f t="shared" si="37"/>
        <v>1892841.7581667146</v>
      </c>
      <c r="K44" s="43">
        <f t="shared" si="37"/>
        <v>2180599.477568219</v>
      </c>
      <c r="L44" s="43">
        <f t="shared" si="37"/>
        <v>2651487.6186447581</v>
      </c>
      <c r="M44" s="43">
        <f t="shared" si="37"/>
        <v>3230965.9846324706</v>
      </c>
      <c r="N44" s="43">
        <f t="shared" si="37"/>
        <v>3230965.9846324706</v>
      </c>
      <c r="O44" s="43">
        <f t="shared" ref="O44" si="38">O25*$A$44</f>
        <v>3230965.9846324706</v>
      </c>
      <c r="P44" s="43">
        <f t="shared" si="37"/>
        <v>2802436.5866324706</v>
      </c>
      <c r="Q44" s="43">
        <f t="shared" ref="Q44:R44" si="39">Q25*$A$44</f>
        <v>2802436.5866324706</v>
      </c>
      <c r="R44" s="43">
        <f t="shared" si="39"/>
        <v>75154.639175257747</v>
      </c>
    </row>
    <row r="45" spans="1:18">
      <c r="A45" s="66">
        <v>1.2500000000000001E-2</v>
      </c>
      <c r="B45" s="43">
        <f>B25*$A$45</f>
        <v>18115.318658206419</v>
      </c>
      <c r="C45" s="43">
        <f t="shared" ref="C45:P45" si="40">C25*$A$45</f>
        <v>52621.855161299107</v>
      </c>
      <c r="D45" s="43">
        <f t="shared" si="40"/>
        <v>155928.02742640168</v>
      </c>
      <c r="E45" s="43">
        <f t="shared" si="40"/>
        <v>356871.10928026796</v>
      </c>
      <c r="F45" s="43">
        <f t="shared" si="40"/>
        <v>1280818.9382030331</v>
      </c>
      <c r="G45" s="43">
        <f t="shared" si="40"/>
        <v>1280818.9382030331</v>
      </c>
      <c r="H45" s="43">
        <f t="shared" si="40"/>
        <v>2366052.1977083934</v>
      </c>
      <c r="I45" s="43">
        <f t="shared" si="40"/>
        <v>2366052.1977083934</v>
      </c>
      <c r="J45" s="43">
        <f t="shared" si="40"/>
        <v>2366052.1977083934</v>
      </c>
      <c r="K45" s="43">
        <f t="shared" si="40"/>
        <v>2725749.346960274</v>
      </c>
      <c r="L45" s="43">
        <f t="shared" si="40"/>
        <v>3314359.5233059474</v>
      </c>
      <c r="M45" s="43">
        <f t="shared" si="40"/>
        <v>4038707.4807905885</v>
      </c>
      <c r="N45" s="43">
        <f t="shared" si="40"/>
        <v>4038707.4807905885</v>
      </c>
      <c r="O45" s="43">
        <f t="shared" ref="O45" si="41">O25*$A$45</f>
        <v>4038707.4807905885</v>
      </c>
      <c r="P45" s="43">
        <f t="shared" si="40"/>
        <v>3503045.7332905885</v>
      </c>
      <c r="Q45" s="43">
        <f t="shared" ref="Q45:R45" si="42">Q25*$A$45</f>
        <v>3503045.7332905885</v>
      </c>
      <c r="R45" s="43">
        <f t="shared" si="42"/>
        <v>93943.298969072173</v>
      </c>
    </row>
    <row r="46" spans="1:18">
      <c r="A46" s="66">
        <v>1.4999999999999999E-2</v>
      </c>
      <c r="B46" s="43">
        <f>B25*$A$46</f>
        <v>21738.382389847699</v>
      </c>
      <c r="C46" s="43">
        <f t="shared" ref="C46:P46" si="43">C25*$A$46</f>
        <v>63146.226193558919</v>
      </c>
      <c r="D46" s="43">
        <f t="shared" si="43"/>
        <v>187113.63291168198</v>
      </c>
      <c r="E46" s="43">
        <f t="shared" si="43"/>
        <v>428245.33113632147</v>
      </c>
      <c r="F46" s="43">
        <f t="shared" si="43"/>
        <v>1536982.7258436396</v>
      </c>
      <c r="G46" s="43">
        <f t="shared" si="43"/>
        <v>1536982.7258436396</v>
      </c>
      <c r="H46" s="43">
        <f t="shared" si="43"/>
        <v>2839262.6372500719</v>
      </c>
      <c r="I46" s="43">
        <f t="shared" si="43"/>
        <v>2839262.6372500719</v>
      </c>
      <c r="J46" s="43">
        <f t="shared" si="43"/>
        <v>2839262.6372500719</v>
      </c>
      <c r="K46" s="43">
        <f t="shared" si="43"/>
        <v>3270899.2163523282</v>
      </c>
      <c r="L46" s="43">
        <f t="shared" si="43"/>
        <v>3977231.4279671367</v>
      </c>
      <c r="M46" s="43">
        <f t="shared" si="43"/>
        <v>4846448.9769487055</v>
      </c>
      <c r="N46" s="43">
        <f t="shared" si="43"/>
        <v>4846448.9769487055</v>
      </c>
      <c r="O46" s="43">
        <f t="shared" ref="O46" si="44">O25*$A$46</f>
        <v>4846448.9769487055</v>
      </c>
      <c r="P46" s="43">
        <f t="shared" si="43"/>
        <v>4203654.8799487054</v>
      </c>
      <c r="Q46" s="43">
        <f t="shared" ref="Q46:R46" si="45">Q25*$A$46</f>
        <v>4203654.8799487054</v>
      </c>
      <c r="R46" s="43">
        <f t="shared" si="45"/>
        <v>112731.9587628866</v>
      </c>
    </row>
    <row r="47" spans="1:18">
      <c r="A47" s="66"/>
    </row>
    <row r="48" spans="1:18">
      <c r="A48" s="66"/>
    </row>
    <row r="50" spans="1:2" ht="30">
      <c r="A50" s="74" t="s">
        <v>342</v>
      </c>
      <c r="B50" s="20">
        <f>SUM(B36:M36)</f>
        <v>4489.8419510884796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zoomScale="90" zoomScaleNormal="90" workbookViewId="0">
      <pane xSplit="1" ySplit="4" topLeftCell="B7" activePane="bottomRight" state="frozenSplit"/>
      <selection pane="topRight" activeCell="B1" sqref="B1"/>
      <selection pane="bottomLeft" activeCell="A5" sqref="A5"/>
      <selection pane="bottomRight" activeCell="B38" sqref="B38:R38"/>
    </sheetView>
  </sheetViews>
  <sheetFormatPr defaultRowHeight="15"/>
  <cols>
    <col min="1" max="1" width="39" customWidth="1"/>
    <col min="2" max="2" width="13" bestFit="1" customWidth="1"/>
    <col min="3" max="4" width="14.140625" bestFit="1" customWidth="1"/>
    <col min="5" max="5" width="15.85546875" bestFit="1" customWidth="1"/>
    <col min="6" max="7" width="14.7109375" bestFit="1" customWidth="1"/>
    <col min="8" max="8" width="15.85546875" bestFit="1" customWidth="1"/>
    <col min="9" max="10" width="14.7109375" bestFit="1" customWidth="1"/>
    <col min="11" max="11" width="15.85546875" bestFit="1" customWidth="1"/>
    <col min="12" max="13" width="15.7109375" bestFit="1" customWidth="1"/>
    <col min="14" max="14" width="14.7109375" bestFit="1" customWidth="1"/>
    <col min="15" max="15" width="14.7109375" customWidth="1"/>
    <col min="16" max="16" width="14.7109375" bestFit="1" customWidth="1"/>
    <col min="17" max="17" width="14.140625" bestFit="1" customWidth="1"/>
    <col min="18" max="18" width="13.140625" bestFit="1" customWidth="1"/>
  </cols>
  <sheetData>
    <row r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56"/>
      <c r="P1" s="87"/>
      <c r="Q1" s="87"/>
    </row>
    <row r="2" spans="1:18">
      <c r="A2" s="87" t="s">
        <v>202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56"/>
      <c r="P2" s="87"/>
      <c r="Q2" s="87"/>
    </row>
    <row r="3" spans="1:18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156"/>
      <c r="P3" s="87"/>
      <c r="Q3" s="87"/>
    </row>
    <row r="4" spans="1:18">
      <c r="A4" s="87"/>
      <c r="B4" s="87">
        <v>2019</v>
      </c>
      <c r="C4" s="87">
        <v>2020</v>
      </c>
      <c r="D4" s="87">
        <v>2021</v>
      </c>
      <c r="E4" s="87">
        <v>2022</v>
      </c>
      <c r="F4" s="87">
        <v>2023</v>
      </c>
      <c r="G4" s="87">
        <v>2024</v>
      </c>
      <c r="H4" s="87">
        <v>2025</v>
      </c>
      <c r="I4" s="87">
        <v>2026</v>
      </c>
      <c r="J4" s="87">
        <v>2027</v>
      </c>
      <c r="K4" s="87">
        <v>2028</v>
      </c>
      <c r="L4" s="87">
        <v>2029</v>
      </c>
      <c r="M4" s="87">
        <v>2030</v>
      </c>
      <c r="N4" s="87">
        <v>2031</v>
      </c>
      <c r="O4" s="156">
        <v>2060</v>
      </c>
      <c r="P4" s="87">
        <v>2061</v>
      </c>
      <c r="Q4" s="87">
        <v>2070</v>
      </c>
      <c r="R4" s="156">
        <v>2071</v>
      </c>
    </row>
    <row r="5" spans="1:18">
      <c r="A5" s="87" t="s">
        <v>169</v>
      </c>
      <c r="B5" s="115">
        <f>300000</f>
        <v>300000</v>
      </c>
      <c r="C5" s="115">
        <f>B28</f>
        <v>0</v>
      </c>
      <c r="D5" s="115">
        <f t="shared" ref="D5:O5" si="0">C28</f>
        <v>0</v>
      </c>
      <c r="E5" s="115">
        <f t="shared" si="0"/>
        <v>0</v>
      </c>
      <c r="F5" s="115">
        <f t="shared" si="0"/>
        <v>507733308.62556195</v>
      </c>
      <c r="G5" s="115">
        <f t="shared" si="0"/>
        <v>341444149.89324188</v>
      </c>
      <c r="H5" s="115">
        <f t="shared" si="0"/>
        <v>0</v>
      </c>
      <c r="I5" s="115">
        <f t="shared" si="0"/>
        <v>1370551311.1687167</v>
      </c>
      <c r="J5" s="115">
        <f t="shared" si="0"/>
        <v>772441221.79167604</v>
      </c>
      <c r="K5" s="115">
        <f t="shared" si="0"/>
        <v>0</v>
      </c>
      <c r="L5" s="115">
        <f t="shared" si="0"/>
        <v>1381906831.9290133</v>
      </c>
      <c r="M5" s="115">
        <f t="shared" si="0"/>
        <v>473674930.05017018</v>
      </c>
      <c r="N5" s="115">
        <f t="shared" si="0"/>
        <v>0</v>
      </c>
      <c r="O5" s="158">
        <f t="shared" si="0"/>
        <v>0</v>
      </c>
      <c r="P5" s="115">
        <f>N28</f>
        <v>0</v>
      </c>
      <c r="Q5" s="158" t="e">
        <f>O28</f>
        <v>#REF!</v>
      </c>
      <c r="R5" s="158" t="e">
        <f>P28</f>
        <v>#REF!</v>
      </c>
    </row>
    <row r="6" spans="1:18">
      <c r="A6" s="87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58"/>
      <c r="P6" s="87"/>
      <c r="Q6" s="156"/>
      <c r="R6" s="156"/>
    </row>
    <row r="7" spans="1:18">
      <c r="A7" s="91" t="s">
        <v>170</v>
      </c>
      <c r="B7" s="87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58"/>
      <c r="P7" s="87"/>
      <c r="Q7" s="156"/>
      <c r="R7" s="156"/>
    </row>
    <row r="8" spans="1:18">
      <c r="A8" s="87" t="s">
        <v>181</v>
      </c>
      <c r="B8" s="115">
        <f>'Construction Costs'!D21*CPI!S91</f>
        <v>89073401.275014043</v>
      </c>
      <c r="C8" s="115">
        <f>'Construction Costs'!E21*CPI!S92</f>
        <v>102579285.24114306</v>
      </c>
      <c r="D8" s="115">
        <f>'Construction Costs'!F21*CPI!S93</f>
        <v>342061126.24832821</v>
      </c>
      <c r="E8" s="115">
        <f>'Construction Costs'!G21*CPI!S94</f>
        <v>701658972.31000316</v>
      </c>
      <c r="F8" s="115">
        <f>'Construction Costs'!H21*CPI!S95</f>
        <v>314416433.73232013</v>
      </c>
      <c r="G8" s="115">
        <f>'Construction Costs'!I21*CPI!S96</f>
        <v>570927489.89324212</v>
      </c>
      <c r="H8" s="115">
        <f>'Construction Costs'!J21*CPI!S97</f>
        <v>1060137515.1062573</v>
      </c>
      <c r="I8" s="115">
        <f>'Construction Costs'!K21*CPI!S98</f>
        <v>878714264.37704051</v>
      </c>
      <c r="J8" s="115">
        <f>'Construction Costs'!L21*CPI!S99</f>
        <v>903045396.79167581</v>
      </c>
      <c r="K8" s="115">
        <f>'Construction Costs'!M21*CPI!S100</f>
        <v>957806304.39805317</v>
      </c>
      <c r="L8" s="115">
        <f>'Construction Costs'!N21*CPI!S101</f>
        <v>1038836076.8788431</v>
      </c>
      <c r="M8" s="115">
        <f>'Construction Costs'!O21*CPI!S102</f>
        <v>560744380.05017018</v>
      </c>
      <c r="N8" s="115">
        <f>'Construction Costs'!P21*CPI!S103</f>
        <v>0</v>
      </c>
      <c r="O8" s="158" t="e">
        <f>'Construction Costs'!Q21*CPI!#REF!</f>
        <v>#REF!</v>
      </c>
      <c r="P8" s="115" t="e">
        <f>'Construction Costs'!Q21*CPI!#REF!</f>
        <v>#REF!</v>
      </c>
      <c r="Q8" s="158">
        <f>'Construction Costs'!R21*CPI!X103</f>
        <v>0</v>
      </c>
      <c r="R8" s="158">
        <f>'Construction Costs'!S21*CPI!Y103</f>
        <v>0</v>
      </c>
    </row>
    <row r="9" spans="1:18">
      <c r="A9" s="87" t="s">
        <v>188</v>
      </c>
      <c r="B9" s="115">
        <f>0.75*LineOfCredit!C18</f>
        <v>1535335.8051565134</v>
      </c>
      <c r="C9" s="115">
        <f>LineOfCredit!C18+LineOfCredit!C19</f>
        <v>4324562.1629039282</v>
      </c>
      <c r="D9" s="115">
        <f>LineOfCredit!C18+LineOfCredit!C19+LineOfCredit!C20</f>
        <v>12589055.944112133</v>
      </c>
      <c r="E9" s="115">
        <f>LineOfCredit!C18+LineOfCredit!C19+LineOfCredit!C20+LineOfCredit!C21</f>
        <v>29843495.876862213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58">
        <v>0</v>
      </c>
      <c r="P9" s="115">
        <v>0</v>
      </c>
      <c r="Q9" s="158">
        <v>0</v>
      </c>
      <c r="R9" s="158">
        <v>0</v>
      </c>
    </row>
    <row r="10" spans="1:18">
      <c r="A10" s="87" t="s">
        <v>192</v>
      </c>
      <c r="B10" s="115">
        <v>0</v>
      </c>
      <c r="C10" s="115">
        <v>0</v>
      </c>
      <c r="D10" s="115">
        <v>0</v>
      </c>
      <c r="E10" s="115">
        <f>LineOfCredit!B23</f>
        <v>1193739835.0744884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58">
        <v>0</v>
      </c>
      <c r="P10" s="115">
        <v>0</v>
      </c>
      <c r="Q10" s="158">
        <v>0</v>
      </c>
      <c r="R10" s="158">
        <v>0</v>
      </c>
    </row>
    <row r="11" spans="1:18">
      <c r="A11" s="87" t="s">
        <v>190</v>
      </c>
      <c r="B11" s="115">
        <v>0</v>
      </c>
      <c r="C11" s="115">
        <v>0</v>
      </c>
      <c r="D11" s="115">
        <v>0</v>
      </c>
      <c r="E11" s="115">
        <v>0</v>
      </c>
      <c r="F11" s="115">
        <f>'Construction Bonds'!$I$39</f>
        <v>68058925.748002023</v>
      </c>
      <c r="G11" s="115">
        <f>'Construction Bonds'!$I$39</f>
        <v>68058925.748002023</v>
      </c>
      <c r="H11" s="115">
        <f>'Construction Bonds'!$I$39+'Construction Bonds'!$I$51</f>
        <v>155758867.39900097</v>
      </c>
      <c r="I11" s="115">
        <f>'Construction Bonds'!$I$39+'Construction Bonds'!$I$51</f>
        <v>155758867.39900097</v>
      </c>
      <c r="J11" s="115">
        <f>'Construction Bonds'!$I$39+'Construction Bonds'!$I$51</f>
        <v>155758867.39900097</v>
      </c>
      <c r="K11" s="115">
        <f>'Construction Bonds'!$I$39+'Construction Bonds'!$I$51+'Construction Bonds'!$C$45</f>
        <v>244123225.85208362</v>
      </c>
      <c r="L11" s="115">
        <f>'Construction Bonds'!$I$39+'Construction Bonds'!$I$51+'Construction Bonds'!$C$45</f>
        <v>244123225.85208362</v>
      </c>
      <c r="M11" s="115">
        <f>'Construction Bonds'!$I$39+'Construction Bonds'!$I$51+'Construction Bonds'!$C$45*0.75</f>
        <v>222032136.23881298</v>
      </c>
      <c r="N11" s="115">
        <v>0</v>
      </c>
      <c r="O11" s="158">
        <v>0</v>
      </c>
      <c r="P11" s="115">
        <v>0</v>
      </c>
      <c r="Q11" s="158">
        <v>0</v>
      </c>
      <c r="R11" s="158">
        <v>0</v>
      </c>
    </row>
    <row r="12" spans="1:18">
      <c r="A12" s="87" t="s">
        <v>201</v>
      </c>
      <c r="B12" s="115">
        <v>0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f>'Construction Bonds'!B58</f>
        <v>6103080646.3020906</v>
      </c>
      <c r="N12" s="115">
        <v>0</v>
      </c>
      <c r="O12" s="158">
        <v>0</v>
      </c>
      <c r="P12" s="115">
        <v>0</v>
      </c>
      <c r="Q12" s="158">
        <v>0</v>
      </c>
      <c r="R12" s="158">
        <v>0</v>
      </c>
    </row>
    <row r="13" spans="1:18">
      <c r="A13" s="87" t="s">
        <v>203</v>
      </c>
      <c r="B13" s="115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f>0.25*'Construction Bonds'!$C$58</f>
        <v>87834539.043895856</v>
      </c>
      <c r="N13" s="115">
        <f>'Construction Bonds'!$C$58</f>
        <v>351338156.17558342</v>
      </c>
      <c r="O13" s="158">
        <f>'Construction Bonds'!$C$58</f>
        <v>351338156.17558342</v>
      </c>
      <c r="P13" s="115">
        <f>'Construction Bonds'!$C$58</f>
        <v>351338156.17558342</v>
      </c>
      <c r="Q13" s="158">
        <f>'Construction Bonds'!$C$58</f>
        <v>351338156.17558342</v>
      </c>
      <c r="R13" s="158">
        <v>0</v>
      </c>
    </row>
    <row r="14" spans="1:18">
      <c r="A14" s="87" t="s">
        <v>204</v>
      </c>
      <c r="B14" s="115">
        <v>0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f>'USDA Low Interest Loan'!$A$9</f>
        <v>42852939.799999997</v>
      </c>
      <c r="O14" s="158">
        <f>'USDA Low Interest Loan'!$A$9</f>
        <v>42852939.799999997</v>
      </c>
      <c r="P14" s="115">
        <v>0</v>
      </c>
      <c r="Q14" s="158">
        <v>0</v>
      </c>
      <c r="R14" s="158">
        <v>0</v>
      </c>
    </row>
    <row r="15" spans="1:18">
      <c r="A15" s="87" t="s">
        <v>206</v>
      </c>
      <c r="B15" s="115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115">
        <f>'O&amp;M Cost Estimate'!$G$16+WaterQualMitigationMonitoring!$B$6*0.25</f>
        <v>6162371.1340206191</v>
      </c>
      <c r="N15" s="115">
        <f>'O&amp;M Cost Estimate'!$G$16+WaterQualMitigationMonitoring!$B$6</f>
        <v>7515463.9175257739</v>
      </c>
      <c r="O15" s="158">
        <f>'O&amp;M Cost Estimate'!$G$16+WaterQualMitigationMonitoring!$B$6</f>
        <v>7515463.9175257739</v>
      </c>
      <c r="P15" s="115">
        <f>'O&amp;M Cost Estimate'!$G$16+WaterQualMitigationMonitoring!$B$6</f>
        <v>7515463.9175257739</v>
      </c>
      <c r="Q15" s="158">
        <f>'O&amp;M Cost Estimate'!$G$16+WaterQualMitigationMonitoring!$B$6</f>
        <v>7515463.9175257739</v>
      </c>
      <c r="R15" s="158">
        <f>'O&amp;M Cost Estimate'!$G$16+WaterQualMitigationMonitoring!$B$6</f>
        <v>7515463.9175257739</v>
      </c>
    </row>
    <row r="16" spans="1:18">
      <c r="A16" s="87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58"/>
      <c r="P16" s="87"/>
      <c r="Q16" s="156"/>
      <c r="R16" s="156"/>
    </row>
    <row r="17" spans="1:18">
      <c r="A17" s="91" t="s">
        <v>182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58"/>
      <c r="P17" s="87"/>
      <c r="Q17" s="156"/>
      <c r="R17" s="156"/>
    </row>
    <row r="18" spans="1:18">
      <c r="A18" s="87" t="s">
        <v>76</v>
      </c>
      <c r="B18" s="115">
        <f>'Prop 1 Funding'!F26</f>
        <v>6888825</v>
      </c>
      <c r="C18" s="115">
        <f>'Prop 1 Funding'!G26</f>
        <v>11481375</v>
      </c>
      <c r="D18" s="115">
        <f>'Prop 1 Funding'!H26</f>
        <v>11481375</v>
      </c>
      <c r="E18" s="115">
        <f>'Prop 1 Funding'!I26</f>
        <v>11481375</v>
      </c>
      <c r="F18" s="115">
        <f>'Prop 1 Funding'!J26</f>
        <v>48127275</v>
      </c>
      <c r="G18" s="115">
        <f>'Prop 1 Funding'!K26</f>
        <v>104483340</v>
      </c>
      <c r="H18" s="115">
        <f>'Prop 1 Funding'!L26</f>
        <v>113190285</v>
      </c>
      <c r="I18" s="115">
        <f>'Prop 1 Funding'!M26</f>
        <v>130604175</v>
      </c>
      <c r="J18" s="115">
        <f>'Prop 1 Funding'!N26</f>
        <v>130604175</v>
      </c>
      <c r="K18" s="115">
        <f>'Prop 1 Funding'!O26</f>
        <v>130604175</v>
      </c>
      <c r="L18" s="115">
        <f>'Prop 1 Funding'!P26</f>
        <v>130604175</v>
      </c>
      <c r="M18" s="115">
        <f>'Prop 1 Funding'!Q26</f>
        <v>87069450</v>
      </c>
      <c r="N18" s="115">
        <v>0</v>
      </c>
      <c r="O18" s="158">
        <v>0</v>
      </c>
      <c r="P18" s="115">
        <v>0</v>
      </c>
      <c r="Q18" s="158">
        <v>0</v>
      </c>
      <c r="R18" s="158">
        <v>0</v>
      </c>
    </row>
    <row r="19" spans="1:18">
      <c r="A19" s="87" t="s">
        <v>183</v>
      </c>
      <c r="B19" s="115">
        <v>0</v>
      </c>
      <c r="C19" s="115">
        <v>0</v>
      </c>
      <c r="D19" s="115">
        <v>0</v>
      </c>
      <c r="E19" s="115">
        <f>'USDA Low Interest Loan'!F21</f>
        <v>0</v>
      </c>
      <c r="F19" s="115">
        <f>'USDA Low Interest Loan'!G21</f>
        <v>100000000</v>
      </c>
      <c r="G19" s="115">
        <f>'USDA Low Interest Loan'!H21</f>
        <v>125000000</v>
      </c>
      <c r="H19" s="115">
        <f>'USDA Low Interest Loan'!I21</f>
        <v>125000000</v>
      </c>
      <c r="I19" s="115">
        <f>'USDA Low Interest Loan'!J21</f>
        <v>150000000</v>
      </c>
      <c r="J19" s="115">
        <f>'USDA Low Interest Loan'!K21</f>
        <v>0</v>
      </c>
      <c r="K19" s="115">
        <v>0</v>
      </c>
      <c r="L19" s="115">
        <v>0</v>
      </c>
      <c r="M19" s="115">
        <v>0</v>
      </c>
      <c r="N19" s="115">
        <v>0</v>
      </c>
      <c r="O19" s="158">
        <v>0</v>
      </c>
      <c r="P19" s="115">
        <v>0</v>
      </c>
      <c r="Q19" s="158">
        <v>0</v>
      </c>
      <c r="R19" s="158">
        <v>0</v>
      </c>
    </row>
    <row r="20" spans="1:18">
      <c r="A20" s="87" t="s">
        <v>184</v>
      </c>
      <c r="B20" s="115">
        <f>SUM(B8)-SUM(B18:B19,B5)</f>
        <v>81884576.275014043</v>
      </c>
      <c r="C20" s="115">
        <f>SUM(C8)-SUM(C18:C19,C5)</f>
        <v>91097910.241143063</v>
      </c>
      <c r="D20" s="115">
        <f>SUM(D8)-SUM(D18:D19,D5)</f>
        <v>330579751.24832821</v>
      </c>
      <c r="E20" s="115">
        <f>SUM(E8)-SUM(E18:E19)</f>
        <v>690177597.31000316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58">
        <v>0</v>
      </c>
      <c r="P20" s="115">
        <v>0</v>
      </c>
      <c r="Q20" s="158">
        <v>0</v>
      </c>
      <c r="R20" s="158">
        <v>0</v>
      </c>
    </row>
    <row r="21" spans="1:18">
      <c r="A21" s="87" t="s">
        <v>185</v>
      </c>
      <c r="B21" s="115">
        <v>0</v>
      </c>
      <c r="C21" s="115">
        <v>0</v>
      </c>
      <c r="D21" s="115">
        <v>0</v>
      </c>
      <c r="E21" s="115">
        <f>'Construction Bonds'!B39</f>
        <v>1701473143.7000506</v>
      </c>
      <c r="F21" s="115">
        <v>0</v>
      </c>
      <c r="G21" s="115">
        <v>0</v>
      </c>
      <c r="H21" s="115">
        <f>'Construction Bonds'!B42</f>
        <v>2192498541.2749739</v>
      </c>
      <c r="I21" s="115">
        <v>0</v>
      </c>
      <c r="J21" s="115">
        <v>0</v>
      </c>
      <c r="K21" s="115">
        <f>'Construction Bonds'!B45</f>
        <v>2209108961.3270664</v>
      </c>
      <c r="L21" s="115">
        <v>0</v>
      </c>
      <c r="M21" s="115">
        <v>0</v>
      </c>
      <c r="N21" s="115">
        <v>0</v>
      </c>
      <c r="O21" s="158">
        <v>0</v>
      </c>
      <c r="P21" s="115">
        <v>0</v>
      </c>
      <c r="Q21" s="158">
        <v>0</v>
      </c>
      <c r="R21" s="158">
        <v>0</v>
      </c>
    </row>
    <row r="22" spans="1:18">
      <c r="A22" s="87" t="s">
        <v>186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f>'Construction Bonds'!B58</f>
        <v>6103080646.3020906</v>
      </c>
      <c r="N22" s="115">
        <v>0</v>
      </c>
      <c r="O22" s="158">
        <v>0</v>
      </c>
      <c r="P22" s="115">
        <v>0</v>
      </c>
      <c r="Q22" s="158">
        <v>0</v>
      </c>
      <c r="R22" s="158">
        <v>0</v>
      </c>
    </row>
    <row r="23" spans="1:18">
      <c r="A23" s="87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58"/>
      <c r="P23" s="87"/>
      <c r="Q23" s="156"/>
      <c r="R23" s="156"/>
    </row>
    <row r="24" spans="1:18">
      <c r="A24" s="87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58"/>
      <c r="P24" s="87"/>
      <c r="Q24" s="156"/>
      <c r="R24" s="156"/>
    </row>
    <row r="25" spans="1:18" ht="45">
      <c r="A25" s="87" t="s">
        <v>205</v>
      </c>
      <c r="B25" s="115">
        <f>SUM(B9:B11)</f>
        <v>1535335.8051565134</v>
      </c>
      <c r="C25" s="115">
        <f>SUM(C9:C11)</f>
        <v>4324562.1629039282</v>
      </c>
      <c r="D25" s="115">
        <f>SUM(D9:D11)</f>
        <v>12589055.944112133</v>
      </c>
      <c r="E25" s="115">
        <f>SUM(E9)</f>
        <v>29843495.876862213</v>
      </c>
      <c r="F25" s="115">
        <f>SUM(F9:F11,F13:F14)</f>
        <v>68058925.748002023</v>
      </c>
      <c r="G25" s="115">
        <f t="shared" ref="G25:K25" si="1">SUM(G9:G11,G13:G14)</f>
        <v>68058925.748002023</v>
      </c>
      <c r="H25" s="115">
        <f t="shared" si="1"/>
        <v>155758867.39900097</v>
      </c>
      <c r="I25" s="115">
        <f t="shared" si="1"/>
        <v>155758867.39900097</v>
      </c>
      <c r="J25" s="115">
        <f t="shared" si="1"/>
        <v>155758867.39900097</v>
      </c>
      <c r="K25" s="115">
        <f t="shared" si="1"/>
        <v>244123225.85208362</v>
      </c>
      <c r="L25" s="115">
        <f>SUM(L9:L11,L13:L15)</f>
        <v>244123225.85208362</v>
      </c>
      <c r="M25" s="115">
        <f>SUM(M9:M11,M13:M15)</f>
        <v>316029046.41672945</v>
      </c>
      <c r="N25" s="115">
        <f t="shared" ref="N25:P25" si="2">SUM(N9:N11,N13:N15)</f>
        <v>401706559.8931092</v>
      </c>
      <c r="O25" s="158">
        <f t="shared" ref="O25" si="3">SUM(O9:O11,O13:O15)</f>
        <v>401706559.8931092</v>
      </c>
      <c r="P25" s="115">
        <f t="shared" si="2"/>
        <v>358853620.09310919</v>
      </c>
      <c r="Q25" s="158">
        <f t="shared" ref="Q25:R25" si="4">SUM(Q9:Q11,Q13:Q15)</f>
        <v>358853620.09310919</v>
      </c>
      <c r="R25" s="158">
        <f t="shared" si="4"/>
        <v>7515463.9175257739</v>
      </c>
    </row>
    <row r="26" spans="1:18">
      <c r="A26" s="87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58"/>
      <c r="P26" s="87"/>
      <c r="Q26" s="156"/>
      <c r="R26" s="156"/>
    </row>
    <row r="27" spans="1:18">
      <c r="A27" s="87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58"/>
      <c r="P27" s="87"/>
      <c r="Q27" s="156"/>
      <c r="R27" s="156"/>
    </row>
    <row r="28" spans="1:18">
      <c r="A28" s="87" t="s">
        <v>189</v>
      </c>
      <c r="B28" s="115">
        <f t="shared" ref="B28:I28" si="5">SUM(B5,B18:B25)-SUM(B8:B12)</f>
        <v>0</v>
      </c>
      <c r="C28" s="115">
        <f t="shared" si="5"/>
        <v>0</v>
      </c>
      <c r="D28" s="115">
        <f t="shared" si="5"/>
        <v>0</v>
      </c>
      <c r="E28" s="115">
        <f>SUM(E5,E18:E25)-SUM(E8:E12)</f>
        <v>507733308.62556195</v>
      </c>
      <c r="F28" s="115">
        <f>SUM(F5,F18:F25)-SUM(F8:F12)</f>
        <v>341444149.89324188</v>
      </c>
      <c r="G28" s="115">
        <f t="shared" si="5"/>
        <v>0</v>
      </c>
      <c r="H28" s="115">
        <f t="shared" si="5"/>
        <v>1370551311.1687167</v>
      </c>
      <c r="I28" s="115">
        <f t="shared" si="5"/>
        <v>772441221.79167604</v>
      </c>
      <c r="J28" s="115">
        <f>SUM(J5,J18:J25)-SUM(J8:J15)</f>
        <v>0</v>
      </c>
      <c r="K28" s="115">
        <f t="shared" ref="K28:P28" si="6">SUM(K5,K18:K25)-SUM(K8:K15)</f>
        <v>1381906831.9290133</v>
      </c>
      <c r="L28" s="115">
        <f t="shared" si="6"/>
        <v>473674930.05017018</v>
      </c>
      <c r="M28" s="115">
        <f>SUM(M5,M18:M25)-SUM(M8:M15)</f>
        <v>0</v>
      </c>
      <c r="N28" s="115">
        <f t="shared" si="6"/>
        <v>0</v>
      </c>
      <c r="O28" s="158" t="e">
        <f t="shared" ref="O28" si="7">SUM(O5,O18:O25)-SUM(O8:O15)</f>
        <v>#REF!</v>
      </c>
      <c r="P28" s="115" t="e">
        <f t="shared" si="6"/>
        <v>#REF!</v>
      </c>
      <c r="Q28" s="158" t="e">
        <f t="shared" ref="Q28:R28" si="8">SUM(Q5,Q18:Q25)-SUM(Q8:Q15)</f>
        <v>#REF!</v>
      </c>
      <c r="R28" s="158" t="e">
        <f t="shared" si="8"/>
        <v>#REF!</v>
      </c>
    </row>
    <row r="29" spans="1:18">
      <c r="A29" s="87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58"/>
      <c r="P29" s="87"/>
      <c r="Q29" s="87"/>
    </row>
    <row r="30" spans="1:18">
      <c r="A30" s="87"/>
      <c r="B30" s="115"/>
      <c r="C30" s="115"/>
      <c r="D30" s="115"/>
      <c r="E30" s="20"/>
      <c r="F30" s="115"/>
      <c r="G30" s="115"/>
      <c r="H30" s="115"/>
      <c r="I30" s="115"/>
      <c r="J30" s="115"/>
      <c r="K30" s="115"/>
      <c r="L30" s="115"/>
      <c r="M30" s="115"/>
      <c r="N30" s="115"/>
      <c r="O30" s="158"/>
      <c r="P30" s="87"/>
      <c r="Q30" s="87"/>
    </row>
    <row r="31" spans="1:18">
      <c r="A31" s="87" t="s">
        <v>200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58"/>
      <c r="P31" s="87"/>
      <c r="Q31" s="87"/>
    </row>
    <row r="32" spans="1:18">
      <c r="A32" s="87">
        <v>425000</v>
      </c>
      <c r="B32" s="20">
        <f>$B$25/A32</f>
        <v>3.6125548356623844</v>
      </c>
      <c r="C32" s="20">
        <f>C25/$A$32</f>
        <v>10.175440383303361</v>
      </c>
      <c r="D32" s="20">
        <f t="shared" ref="D32:N32" si="9">D25/$A$32</f>
        <v>29.621308103793254</v>
      </c>
      <c r="E32" s="20">
        <f t="shared" si="9"/>
        <v>70.219990298499326</v>
      </c>
      <c r="F32" s="20">
        <f t="shared" si="9"/>
        <v>160.1386488188283</v>
      </c>
      <c r="G32" s="20">
        <f t="shared" si="9"/>
        <v>160.1386488188283</v>
      </c>
      <c r="H32" s="20">
        <f t="shared" si="9"/>
        <v>366.49145270353171</v>
      </c>
      <c r="I32" s="20">
        <f t="shared" si="9"/>
        <v>366.49145270353171</v>
      </c>
      <c r="J32" s="20">
        <f t="shared" si="9"/>
        <v>366.49145270353171</v>
      </c>
      <c r="K32" s="20">
        <f t="shared" si="9"/>
        <v>574.40759024019678</v>
      </c>
      <c r="L32" s="20">
        <f t="shared" si="9"/>
        <v>574.40759024019678</v>
      </c>
      <c r="M32" s="20">
        <f t="shared" si="9"/>
        <v>743.59775627465751</v>
      </c>
      <c r="N32" s="20">
        <f t="shared" si="9"/>
        <v>945.19190563084521</v>
      </c>
      <c r="O32" s="20">
        <f t="shared" ref="O32:R32" si="10">O25/$A$32</f>
        <v>945.19190563084521</v>
      </c>
      <c r="P32" s="20">
        <f t="shared" si="10"/>
        <v>844.36145904260991</v>
      </c>
      <c r="Q32" s="20">
        <f t="shared" si="10"/>
        <v>844.36145904260991</v>
      </c>
      <c r="R32" s="20">
        <f t="shared" si="10"/>
        <v>17.68344451182535</v>
      </c>
    </row>
    <row r="33" spans="1:18">
      <c r="A33" s="87">
        <v>396950</v>
      </c>
      <c r="B33" s="20">
        <f t="shared" ref="B33:B38" si="11">$B$25/A33</f>
        <v>3.8678317298312468</v>
      </c>
      <c r="C33" s="20">
        <f>C25/A33</f>
        <v>10.89447578512137</v>
      </c>
      <c r="D33" s="20">
        <f>D25/$A$33</f>
        <v>31.714462637894275</v>
      </c>
      <c r="E33" s="20">
        <f t="shared" ref="E33:N33" si="12">E25/$A$33</f>
        <v>75.182002460920046</v>
      </c>
      <c r="F33" s="20">
        <f t="shared" si="12"/>
        <v>171.45465612294248</v>
      </c>
      <c r="G33" s="20">
        <f t="shared" si="12"/>
        <v>171.45465612294248</v>
      </c>
      <c r="H33" s="20">
        <f t="shared" si="12"/>
        <v>392.3891356568862</v>
      </c>
      <c r="I33" s="20">
        <f t="shared" si="12"/>
        <v>392.3891356568862</v>
      </c>
      <c r="J33" s="20">
        <f t="shared" si="12"/>
        <v>392.3891356568862</v>
      </c>
      <c r="K33" s="20">
        <f t="shared" si="12"/>
        <v>614.99741995738407</v>
      </c>
      <c r="L33" s="20">
        <f t="shared" si="12"/>
        <v>614.99741995738407</v>
      </c>
      <c r="M33" s="20">
        <f t="shared" si="12"/>
        <v>796.14320800284531</v>
      </c>
      <c r="N33" s="20">
        <f t="shared" si="12"/>
        <v>1011.982768341376</v>
      </c>
      <c r="O33" s="20">
        <f t="shared" ref="O33:R33" si="13">O25/$A$33</f>
        <v>1011.982768341376</v>
      </c>
      <c r="P33" s="20">
        <f t="shared" si="13"/>
        <v>904.02725807559943</v>
      </c>
      <c r="Q33" s="20">
        <f t="shared" si="13"/>
        <v>904.02725807559943</v>
      </c>
      <c r="R33" s="20">
        <f t="shared" si="13"/>
        <v>18.933024102596736</v>
      </c>
    </row>
    <row r="34" spans="1:18">
      <c r="A34" s="87">
        <v>385900</v>
      </c>
      <c r="B34" s="20">
        <f t="shared" si="11"/>
        <v>3.9785846207735509</v>
      </c>
      <c r="C34" s="20">
        <f>C25/$A$34</f>
        <v>11.206432140201938</v>
      </c>
      <c r="D34" s="20">
        <f t="shared" ref="D34:N34" si="14">D25/$A$34</f>
        <v>32.622586017393452</v>
      </c>
      <c r="E34" s="20">
        <f t="shared" si="14"/>
        <v>77.334791077642421</v>
      </c>
      <c r="F34" s="20">
        <f t="shared" si="14"/>
        <v>176.36415068152894</v>
      </c>
      <c r="G34" s="20">
        <f t="shared" si="14"/>
        <v>176.36415068152894</v>
      </c>
      <c r="H34" s="20">
        <f t="shared" si="14"/>
        <v>403.62494791137851</v>
      </c>
      <c r="I34" s="20">
        <f t="shared" si="14"/>
        <v>403.62494791137851</v>
      </c>
      <c r="J34" s="20">
        <f t="shared" si="14"/>
        <v>403.62494791137851</v>
      </c>
      <c r="K34" s="20">
        <f t="shared" si="14"/>
        <v>632.6074782381022</v>
      </c>
      <c r="L34" s="20">
        <f t="shared" si="14"/>
        <v>632.6074782381022</v>
      </c>
      <c r="M34" s="20">
        <f t="shared" si="14"/>
        <v>818.94026021438049</v>
      </c>
      <c r="N34" s="20">
        <f t="shared" si="14"/>
        <v>1040.9602484921202</v>
      </c>
      <c r="O34" s="20">
        <f t="shared" ref="O34:R34" si="15">O25/$A$34</f>
        <v>1040.9602484921202</v>
      </c>
      <c r="P34" s="20">
        <f t="shared" si="15"/>
        <v>929.91350114824877</v>
      </c>
      <c r="Q34" s="20">
        <f t="shared" si="15"/>
        <v>929.91350114824877</v>
      </c>
      <c r="R34" s="20">
        <f t="shared" si="15"/>
        <v>19.475159153992678</v>
      </c>
    </row>
    <row r="35" spans="1:18">
      <c r="A35" s="87">
        <v>374850</v>
      </c>
      <c r="B35" s="20">
        <f t="shared" si="11"/>
        <v>4.0958671606149482</v>
      </c>
      <c r="C35" s="20">
        <f>C25/$A$35</f>
        <v>11.536780479935782</v>
      </c>
      <c r="D35" s="20">
        <f t="shared" ref="D35:N35" si="16">D25/$A$35</f>
        <v>33.584249550786005</v>
      </c>
      <c r="E35" s="20">
        <f t="shared" si="16"/>
        <v>79.614501472221463</v>
      </c>
      <c r="F35" s="20">
        <f t="shared" si="16"/>
        <v>181.56309389889827</v>
      </c>
      <c r="G35" s="20">
        <f t="shared" si="16"/>
        <v>181.56309389889827</v>
      </c>
      <c r="H35" s="20">
        <f t="shared" si="16"/>
        <v>415.52318900627176</v>
      </c>
      <c r="I35" s="20">
        <f t="shared" si="16"/>
        <v>415.52318900627176</v>
      </c>
      <c r="J35" s="20">
        <f t="shared" si="16"/>
        <v>415.52318900627176</v>
      </c>
      <c r="K35" s="20">
        <f t="shared" si="16"/>
        <v>651.25577124738857</v>
      </c>
      <c r="L35" s="20">
        <f t="shared" si="16"/>
        <v>651.25577124738857</v>
      </c>
      <c r="M35" s="20">
        <f t="shared" si="16"/>
        <v>843.08135632047345</v>
      </c>
      <c r="N35" s="20">
        <f t="shared" si="16"/>
        <v>1071.6461515088947</v>
      </c>
      <c r="O35" s="20">
        <f t="shared" ref="O35:R35" si="17">O25/$A$35</f>
        <v>1071.6461515088947</v>
      </c>
      <c r="P35" s="20">
        <f t="shared" si="17"/>
        <v>957.3259172818706</v>
      </c>
      <c r="Q35" s="20">
        <f t="shared" si="17"/>
        <v>957.3259172818706</v>
      </c>
      <c r="R35" s="20">
        <f t="shared" si="17"/>
        <v>20.049256816128516</v>
      </c>
    </row>
    <row r="36" spans="1:18" s="150" customFormat="1">
      <c r="A36" s="91">
        <v>362100</v>
      </c>
      <c r="B36" s="39">
        <f t="shared" si="11"/>
        <v>4.2400878352844886</v>
      </c>
      <c r="C36" s="39">
        <f>C25/$A$36</f>
        <v>11.943005144722255</v>
      </c>
      <c r="D36" s="39">
        <f t="shared" ref="D36:N36" si="18">D25/$A$36</f>
        <v>34.766793549053119</v>
      </c>
      <c r="E36" s="39">
        <f t="shared" si="18"/>
        <v>82.417828988848967</v>
      </c>
      <c r="F36" s="39">
        <f t="shared" si="18"/>
        <v>187.95616058547921</v>
      </c>
      <c r="G36" s="39">
        <f t="shared" si="18"/>
        <v>187.95616058547921</v>
      </c>
      <c r="H36" s="39">
        <f t="shared" si="18"/>
        <v>430.15428721071794</v>
      </c>
      <c r="I36" s="39">
        <f t="shared" si="18"/>
        <v>430.15428721071794</v>
      </c>
      <c r="J36" s="39">
        <f t="shared" si="18"/>
        <v>430.15428721071794</v>
      </c>
      <c r="K36" s="39">
        <f t="shared" si="18"/>
        <v>674.18731248849383</v>
      </c>
      <c r="L36" s="39">
        <f t="shared" si="18"/>
        <v>674.18731248849383</v>
      </c>
      <c r="M36" s="39">
        <f t="shared" si="18"/>
        <v>872.76731957119432</v>
      </c>
      <c r="N36" s="39">
        <f t="shared" si="18"/>
        <v>1109.380170928222</v>
      </c>
      <c r="O36" s="39">
        <f t="shared" ref="O36:R36" si="19">O25/$A$36</f>
        <v>1109.380170928222</v>
      </c>
      <c r="P36" s="39">
        <f t="shared" si="19"/>
        <v>991.03457634109134</v>
      </c>
      <c r="Q36" s="39">
        <f t="shared" si="19"/>
        <v>991.03457634109134</v>
      </c>
      <c r="R36" s="39">
        <f t="shared" si="19"/>
        <v>20.755216563175292</v>
      </c>
    </row>
    <row r="37" spans="1:18">
      <c r="A37" s="87">
        <v>331500</v>
      </c>
      <c r="B37" s="20">
        <f t="shared" si="11"/>
        <v>4.6314805585415186</v>
      </c>
      <c r="C37" s="20">
        <f>C25/$A$37</f>
        <v>13.045436388850462</v>
      </c>
      <c r="D37" s="20">
        <f t="shared" ref="D37:N37" si="20">D25/$A$37</f>
        <v>37.976036030504176</v>
      </c>
      <c r="E37" s="20">
        <f t="shared" si="20"/>
        <v>90.025628587819654</v>
      </c>
      <c r="F37" s="20">
        <f t="shared" si="20"/>
        <v>205.30596002413884</v>
      </c>
      <c r="G37" s="20">
        <f t="shared" si="20"/>
        <v>205.30596002413884</v>
      </c>
      <c r="H37" s="20">
        <f t="shared" si="20"/>
        <v>469.86083679939964</v>
      </c>
      <c r="I37" s="20">
        <f t="shared" si="20"/>
        <v>469.86083679939964</v>
      </c>
      <c r="J37" s="20">
        <f t="shared" si="20"/>
        <v>469.86083679939964</v>
      </c>
      <c r="K37" s="20">
        <f t="shared" si="20"/>
        <v>736.41998748743174</v>
      </c>
      <c r="L37" s="20">
        <f t="shared" si="20"/>
        <v>736.41998748743174</v>
      </c>
      <c r="M37" s="20">
        <f t="shared" si="20"/>
        <v>953.33045676238146</v>
      </c>
      <c r="N37" s="20">
        <f t="shared" si="20"/>
        <v>1211.7844943985194</v>
      </c>
      <c r="O37" s="20">
        <f t="shared" ref="O37:R37" si="21">O25/$A$37</f>
        <v>1211.7844943985194</v>
      </c>
      <c r="P37" s="20">
        <f t="shared" si="21"/>
        <v>1082.5146910802691</v>
      </c>
      <c r="Q37" s="20">
        <f t="shared" si="21"/>
        <v>1082.5146910802691</v>
      </c>
      <c r="R37" s="20">
        <f t="shared" si="21"/>
        <v>22.671082707468397</v>
      </c>
    </row>
    <row r="38" spans="1:18">
      <c r="A38" s="87">
        <v>303450</v>
      </c>
      <c r="B38" s="20">
        <f t="shared" si="11"/>
        <v>5.0596006101714064</v>
      </c>
      <c r="C38" s="20">
        <f>C25/$A$38</f>
        <v>14.251317063450085</v>
      </c>
      <c r="D38" s="20">
        <f t="shared" ref="D38:N38" si="22">D25/$A$38</f>
        <v>41.486425915676826</v>
      </c>
      <c r="E38" s="20">
        <f t="shared" si="22"/>
        <v>98.347325348038268</v>
      </c>
      <c r="F38" s="20">
        <f t="shared" si="22"/>
        <v>224.28382187510965</v>
      </c>
      <c r="G38" s="20">
        <f t="shared" si="22"/>
        <v>224.28382187510965</v>
      </c>
      <c r="H38" s="20">
        <f t="shared" si="22"/>
        <v>513.29335112539457</v>
      </c>
      <c r="I38" s="20">
        <f t="shared" si="22"/>
        <v>513.29335112539457</v>
      </c>
      <c r="J38" s="20">
        <f t="shared" si="22"/>
        <v>513.29335112539457</v>
      </c>
      <c r="K38" s="20">
        <f t="shared" si="22"/>
        <v>804.49242330559775</v>
      </c>
      <c r="L38" s="20">
        <f t="shared" si="22"/>
        <v>804.49242330559775</v>
      </c>
      <c r="M38" s="20">
        <f t="shared" si="22"/>
        <v>1041.4534401605847</v>
      </c>
      <c r="N38" s="20">
        <f t="shared" si="22"/>
        <v>1323.7981871580464</v>
      </c>
      <c r="O38" s="20">
        <f t="shared" ref="O38:R38" si="23">O25/$A$38</f>
        <v>1323.7981871580464</v>
      </c>
      <c r="P38" s="20">
        <f t="shared" si="23"/>
        <v>1182.5790742893696</v>
      </c>
      <c r="Q38" s="20">
        <f t="shared" si="23"/>
        <v>1182.5790742893696</v>
      </c>
      <c r="R38" s="20">
        <f t="shared" si="23"/>
        <v>24.766729008158755</v>
      </c>
    </row>
    <row r="39" spans="1:18">
      <c r="A39" s="87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58"/>
      <c r="P39" s="158"/>
      <c r="Q39" s="158"/>
      <c r="R39" s="158"/>
    </row>
    <row r="40" spans="1:18">
      <c r="A40" s="87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58"/>
      <c r="P40" s="158"/>
      <c r="Q40" s="158"/>
      <c r="R40" s="158"/>
    </row>
    <row r="41" spans="1:18">
      <c r="A41" s="116" t="s">
        <v>229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58"/>
      <c r="P41" s="158"/>
      <c r="Q41" s="158"/>
      <c r="R41" s="158"/>
    </row>
    <row r="42" spans="1:18">
      <c r="A42" s="66">
        <v>5.0000000000000001E-3</v>
      </c>
      <c r="B42" s="43">
        <f>B25*$A$42</f>
        <v>7676.6790257825669</v>
      </c>
      <c r="C42" s="43">
        <f t="shared" ref="C42:N42" si="24">C25*$A$42</f>
        <v>21622.810814519642</v>
      </c>
      <c r="D42" s="43">
        <f t="shared" si="24"/>
        <v>62945.279720560669</v>
      </c>
      <c r="E42" s="43">
        <f t="shared" si="24"/>
        <v>149217.47938431107</v>
      </c>
      <c r="F42" s="43">
        <f t="shared" si="24"/>
        <v>340294.62874001014</v>
      </c>
      <c r="G42" s="43">
        <f t="shared" si="24"/>
        <v>340294.62874001014</v>
      </c>
      <c r="H42" s="43">
        <f t="shared" si="24"/>
        <v>778794.33699500491</v>
      </c>
      <c r="I42" s="43">
        <f t="shared" si="24"/>
        <v>778794.33699500491</v>
      </c>
      <c r="J42" s="43">
        <f t="shared" si="24"/>
        <v>778794.33699500491</v>
      </c>
      <c r="K42" s="43">
        <f t="shared" si="24"/>
        <v>1220616.1292604182</v>
      </c>
      <c r="L42" s="43">
        <f t="shared" si="24"/>
        <v>1220616.1292604182</v>
      </c>
      <c r="M42" s="43">
        <f t="shared" si="24"/>
        <v>1580145.2320836473</v>
      </c>
      <c r="N42" s="43">
        <f t="shared" si="24"/>
        <v>2008532.7994655462</v>
      </c>
      <c r="O42" s="43">
        <f t="shared" ref="O42:R42" si="25">O25*$A$42</f>
        <v>2008532.7994655462</v>
      </c>
      <c r="P42" s="43">
        <f t="shared" si="25"/>
        <v>1794268.1004655459</v>
      </c>
      <c r="Q42" s="43">
        <f t="shared" si="25"/>
        <v>1794268.1004655459</v>
      </c>
      <c r="R42" s="43">
        <f t="shared" si="25"/>
        <v>37577.319587628874</v>
      </c>
    </row>
    <row r="43" spans="1:18">
      <c r="A43" s="66">
        <v>7.4999999999999997E-3</v>
      </c>
      <c r="B43" s="43">
        <f>B25*$A$43</f>
        <v>11515.01853867385</v>
      </c>
      <c r="C43" s="43">
        <f t="shared" ref="C43:N43" si="26">C25*$A$43</f>
        <v>32434.216221779461</v>
      </c>
      <c r="D43" s="43">
        <f t="shared" si="26"/>
        <v>94417.919580841</v>
      </c>
      <c r="E43" s="43">
        <f t="shared" si="26"/>
        <v>223826.2190764666</v>
      </c>
      <c r="F43" s="43">
        <f t="shared" si="26"/>
        <v>510441.94311001513</v>
      </c>
      <c r="G43" s="43">
        <f t="shared" si="26"/>
        <v>510441.94311001513</v>
      </c>
      <c r="H43" s="43">
        <f t="shared" si="26"/>
        <v>1168191.5054925072</v>
      </c>
      <c r="I43" s="43">
        <f t="shared" si="26"/>
        <v>1168191.5054925072</v>
      </c>
      <c r="J43" s="43">
        <f t="shared" si="26"/>
        <v>1168191.5054925072</v>
      </c>
      <c r="K43" s="43">
        <f t="shared" si="26"/>
        <v>1830924.193890627</v>
      </c>
      <c r="L43" s="43">
        <f t="shared" si="26"/>
        <v>1830924.193890627</v>
      </c>
      <c r="M43" s="43">
        <f t="shared" si="26"/>
        <v>2370217.8481254708</v>
      </c>
      <c r="N43" s="43">
        <f t="shared" si="26"/>
        <v>3012799.1991983191</v>
      </c>
      <c r="O43" s="43">
        <f t="shared" ref="O43:R43" si="27">O25*$A$43</f>
        <v>3012799.1991983191</v>
      </c>
      <c r="P43" s="43">
        <f t="shared" si="27"/>
        <v>2691402.1506983186</v>
      </c>
      <c r="Q43" s="43">
        <f t="shared" si="27"/>
        <v>2691402.1506983186</v>
      </c>
      <c r="R43" s="43">
        <f t="shared" si="27"/>
        <v>56365.9793814433</v>
      </c>
    </row>
    <row r="44" spans="1:18">
      <c r="A44" s="66">
        <v>0.01</v>
      </c>
      <c r="B44" s="43">
        <f>B25*$A$44</f>
        <v>15353.358051565134</v>
      </c>
      <c r="C44" s="43">
        <f t="shared" ref="C44:N44" si="28">C25*$A$44</f>
        <v>43245.621629039284</v>
      </c>
      <c r="D44" s="43">
        <f t="shared" si="28"/>
        <v>125890.55944112134</v>
      </c>
      <c r="E44" s="43">
        <f t="shared" si="28"/>
        <v>298434.95876862213</v>
      </c>
      <c r="F44" s="43">
        <f t="shared" si="28"/>
        <v>680589.25748002029</v>
      </c>
      <c r="G44" s="43">
        <f t="shared" si="28"/>
        <v>680589.25748002029</v>
      </c>
      <c r="H44" s="43">
        <f t="shared" si="28"/>
        <v>1557588.6739900098</v>
      </c>
      <c r="I44" s="43">
        <f t="shared" si="28"/>
        <v>1557588.6739900098</v>
      </c>
      <c r="J44" s="43">
        <f t="shared" si="28"/>
        <v>1557588.6739900098</v>
      </c>
      <c r="K44" s="43">
        <f t="shared" si="28"/>
        <v>2441232.2585208365</v>
      </c>
      <c r="L44" s="43">
        <f t="shared" si="28"/>
        <v>2441232.2585208365</v>
      </c>
      <c r="M44" s="43">
        <f t="shared" si="28"/>
        <v>3160290.4641672946</v>
      </c>
      <c r="N44" s="43">
        <f t="shared" si="28"/>
        <v>4017065.5989310923</v>
      </c>
      <c r="O44" s="43">
        <f t="shared" ref="O44:R44" si="29">O25*$A$44</f>
        <v>4017065.5989310923</v>
      </c>
      <c r="P44" s="43">
        <f t="shared" si="29"/>
        <v>3588536.2009310918</v>
      </c>
      <c r="Q44" s="43">
        <f t="shared" si="29"/>
        <v>3588536.2009310918</v>
      </c>
      <c r="R44" s="43">
        <f t="shared" si="29"/>
        <v>75154.639175257747</v>
      </c>
    </row>
    <row r="45" spans="1:18">
      <c r="A45" s="66">
        <v>1.2500000000000001E-2</v>
      </c>
      <c r="B45" s="43">
        <f>B25*$A$45</f>
        <v>19191.697564456419</v>
      </c>
      <c r="C45" s="43">
        <f t="shared" ref="C45:N45" si="30">C25*$A$45</f>
        <v>54057.027036299107</v>
      </c>
      <c r="D45" s="43">
        <f t="shared" si="30"/>
        <v>157363.19930140168</v>
      </c>
      <c r="E45" s="43">
        <f t="shared" si="30"/>
        <v>373043.6984607777</v>
      </c>
      <c r="F45" s="43">
        <f t="shared" si="30"/>
        <v>850736.57185002533</v>
      </c>
      <c r="G45" s="43">
        <f t="shared" si="30"/>
        <v>850736.57185002533</v>
      </c>
      <c r="H45" s="43">
        <f t="shared" si="30"/>
        <v>1946985.8424875122</v>
      </c>
      <c r="I45" s="43">
        <f t="shared" si="30"/>
        <v>1946985.8424875122</v>
      </c>
      <c r="J45" s="43">
        <f t="shared" si="30"/>
        <v>1946985.8424875122</v>
      </c>
      <c r="K45" s="43">
        <f t="shared" si="30"/>
        <v>3051540.3231510455</v>
      </c>
      <c r="L45" s="43">
        <f t="shared" si="30"/>
        <v>3051540.3231510455</v>
      </c>
      <c r="M45" s="43">
        <f t="shared" si="30"/>
        <v>3950363.0802091183</v>
      </c>
      <c r="N45" s="43">
        <f t="shared" si="30"/>
        <v>5021331.998663865</v>
      </c>
      <c r="O45" s="43">
        <f t="shared" ref="O45:R45" si="31">O25*$A$45</f>
        <v>5021331.998663865</v>
      </c>
      <c r="P45" s="43">
        <f t="shared" si="31"/>
        <v>4485670.2511638654</v>
      </c>
      <c r="Q45" s="43">
        <f t="shared" si="31"/>
        <v>4485670.2511638654</v>
      </c>
      <c r="R45" s="43">
        <f t="shared" si="31"/>
        <v>93943.298969072173</v>
      </c>
    </row>
    <row r="46" spans="1:18">
      <c r="A46" s="66">
        <v>1.4999999999999999E-2</v>
      </c>
      <c r="B46" s="43">
        <f>B25*$A$46</f>
        <v>23030.037077347701</v>
      </c>
      <c r="C46" s="43">
        <f t="shared" ref="C46:N46" si="32">C25*$A$46</f>
        <v>64868.432443558922</v>
      </c>
      <c r="D46" s="43">
        <f t="shared" si="32"/>
        <v>188835.839161682</v>
      </c>
      <c r="E46" s="43">
        <f t="shared" si="32"/>
        <v>447652.4381529332</v>
      </c>
      <c r="F46" s="43">
        <f t="shared" si="32"/>
        <v>1020883.8862200303</v>
      </c>
      <c r="G46" s="43">
        <f t="shared" si="32"/>
        <v>1020883.8862200303</v>
      </c>
      <c r="H46" s="43">
        <f t="shared" si="32"/>
        <v>2336383.0109850145</v>
      </c>
      <c r="I46" s="43">
        <f t="shared" si="32"/>
        <v>2336383.0109850145</v>
      </c>
      <c r="J46" s="43">
        <f t="shared" si="32"/>
        <v>2336383.0109850145</v>
      </c>
      <c r="K46" s="43">
        <f t="shared" si="32"/>
        <v>3661848.387781254</v>
      </c>
      <c r="L46" s="43">
        <f t="shared" si="32"/>
        <v>3661848.387781254</v>
      </c>
      <c r="M46" s="43">
        <f t="shared" si="32"/>
        <v>4740435.6962509416</v>
      </c>
      <c r="N46" s="43">
        <f t="shared" si="32"/>
        <v>6025598.3983966382</v>
      </c>
      <c r="O46" s="43">
        <f t="shared" ref="O46:R46" si="33">O25*$A$46</f>
        <v>6025598.3983966382</v>
      </c>
      <c r="P46" s="43">
        <f t="shared" si="33"/>
        <v>5382804.3013966372</v>
      </c>
      <c r="Q46" s="43">
        <f t="shared" si="33"/>
        <v>5382804.3013966372</v>
      </c>
      <c r="R46" s="43">
        <f t="shared" si="33"/>
        <v>112731.9587628866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zoomScale="80" zoomScaleNormal="80"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/>
    </sheetView>
  </sheetViews>
  <sheetFormatPr defaultRowHeight="15"/>
  <cols>
    <col min="1" max="1" width="64.140625" customWidth="1"/>
    <col min="2" max="3" width="14.28515625" bestFit="1" customWidth="1"/>
    <col min="4" max="5" width="15.85546875" bestFit="1" customWidth="1"/>
    <col min="6" max="11" width="15.7109375" bestFit="1" customWidth="1"/>
    <col min="12" max="15" width="14.7109375" bestFit="1" customWidth="1"/>
    <col min="16" max="16" width="13.140625" bestFit="1" customWidth="1"/>
  </cols>
  <sheetData>
    <row r="1" spans="1:16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>
      <c r="A2" s="87" t="s">
        <v>202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>
      <c r="A3" s="87"/>
      <c r="B3" s="87"/>
      <c r="C3" s="87"/>
      <c r="D3" s="87"/>
      <c r="E3" s="87"/>
      <c r="F3" s="87"/>
      <c r="G3" s="87"/>
      <c r="H3" s="87"/>
      <c r="I3" s="87"/>
      <c r="J3" s="87"/>
      <c r="K3" s="87" t="s">
        <v>114</v>
      </c>
      <c r="L3" s="87"/>
      <c r="M3" s="87"/>
      <c r="N3" s="87"/>
      <c r="O3" s="87"/>
      <c r="P3" s="87"/>
    </row>
    <row r="4" spans="1:16">
      <c r="A4" s="87"/>
      <c r="B4" s="87">
        <v>2019</v>
      </c>
      <c r="C4" s="87">
        <v>2020</v>
      </c>
      <c r="D4" s="87">
        <v>2021</v>
      </c>
      <c r="E4" s="87">
        <v>2022</v>
      </c>
      <c r="F4" s="87">
        <v>2023</v>
      </c>
      <c r="G4" s="87">
        <v>2024</v>
      </c>
      <c r="H4" s="87">
        <v>2025</v>
      </c>
      <c r="I4" s="87">
        <v>2026</v>
      </c>
      <c r="J4" s="87">
        <v>2027</v>
      </c>
      <c r="K4" s="87">
        <v>2028</v>
      </c>
      <c r="L4" s="87">
        <v>2029</v>
      </c>
      <c r="M4" s="87">
        <v>2057</v>
      </c>
      <c r="N4" s="87">
        <v>2058</v>
      </c>
      <c r="O4" s="87">
        <v>2067</v>
      </c>
      <c r="P4" s="87">
        <v>2068</v>
      </c>
    </row>
    <row r="5" spans="1:16">
      <c r="A5" s="87" t="s">
        <v>169</v>
      </c>
      <c r="B5" s="115">
        <f>300000</f>
        <v>300000</v>
      </c>
      <c r="C5" s="115">
        <f>B28</f>
        <v>0</v>
      </c>
      <c r="D5" s="115">
        <f t="shared" ref="D5:P5" si="0">C28</f>
        <v>0</v>
      </c>
      <c r="E5" s="115">
        <f t="shared" si="0"/>
        <v>1692280257.2780938</v>
      </c>
      <c r="F5" s="115">
        <f t="shared" si="0"/>
        <v>1251139983.4020901</v>
      </c>
      <c r="G5" s="115">
        <f t="shared" si="0"/>
        <v>591167959.14880013</v>
      </c>
      <c r="H5" s="115">
        <f t="shared" si="0"/>
        <v>0</v>
      </c>
      <c r="I5" s="115">
        <f t="shared" si="0"/>
        <v>1274738457.7507725</v>
      </c>
      <c r="J5" s="115">
        <f t="shared" si="0"/>
        <v>556222827.92043638</v>
      </c>
      <c r="K5" s="115">
        <f t="shared" si="0"/>
        <v>0</v>
      </c>
      <c r="L5" s="115">
        <f t="shared" si="0"/>
        <v>0</v>
      </c>
      <c r="M5" s="115">
        <f t="shared" si="0"/>
        <v>0</v>
      </c>
      <c r="N5" s="115">
        <f t="shared" si="0"/>
        <v>0</v>
      </c>
      <c r="O5" s="115">
        <f t="shared" si="0"/>
        <v>0</v>
      </c>
      <c r="P5" s="158" t="e">
        <f t="shared" si="0"/>
        <v>#REF!</v>
      </c>
    </row>
    <row r="6" spans="1:16">
      <c r="A6" s="87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87"/>
      <c r="P6" s="156"/>
    </row>
    <row r="7" spans="1:16">
      <c r="A7" s="91" t="s">
        <v>170</v>
      </c>
      <c r="B7" s="87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87"/>
      <c r="P7" s="156"/>
    </row>
    <row r="8" spans="1:16">
      <c r="A8" s="87" t="s">
        <v>181</v>
      </c>
      <c r="B8" s="115">
        <f>'Construction Costs'!D31*CPI!S91</f>
        <v>118315349.9538008</v>
      </c>
      <c r="C8" s="115">
        <f>'Construction Costs'!E31*CPI!S92</f>
        <v>358574821.63726664</v>
      </c>
      <c r="D8" s="115">
        <f>'Construction Costs'!F31*CPI!S93</f>
        <v>729797407.78087664</v>
      </c>
      <c r="E8" s="115">
        <f>'Construction Costs'!G31*CPI!S94</f>
        <v>714158338.87600374</v>
      </c>
      <c r="F8" s="115">
        <f>'Construction Costs'!H31*CPI!S95</f>
        <v>924283144.25328994</v>
      </c>
      <c r="G8" s="115">
        <f>'Construction Costs'!I31*CPI!S96</f>
        <v>864186024.14880002</v>
      </c>
      <c r="H8" s="115">
        <f>'Construction Costs'!J31*CPI!S97</f>
        <v>854922963.4720372</v>
      </c>
      <c r="I8" s="115">
        <f>'Construction Costs'!K31*CPI!S98</f>
        <v>866533694.83033597</v>
      </c>
      <c r="J8" s="115">
        <f>'Construction Costs'!L31*CPI!S99</f>
        <v>695533947.9204365</v>
      </c>
      <c r="K8" s="115">
        <f>'Construction Costs'!M31*CPI!S100</f>
        <v>0</v>
      </c>
      <c r="L8" s="115">
        <f>'Construction Costs'!N31*CPI!S101</f>
        <v>0</v>
      </c>
      <c r="M8" s="115">
        <f>'Construction Costs'!O31*CPI!S102</f>
        <v>0</v>
      </c>
      <c r="N8" s="115">
        <f>'Construction Costs'!P31*CPI!S103</f>
        <v>0</v>
      </c>
      <c r="O8" s="115" t="e">
        <f>'Construction Costs'!Q31*CPI!#REF!</f>
        <v>#REF!</v>
      </c>
      <c r="P8" s="158">
        <f>'Construction Costs'!R31*CPI!X103</f>
        <v>0</v>
      </c>
    </row>
    <row r="9" spans="1:16">
      <c r="A9" s="87" t="s">
        <v>188</v>
      </c>
      <c r="B9" s="115">
        <f>0.75*LineOfCredit!C32</f>
        <v>1997512.0303837652</v>
      </c>
      <c r="C9" s="115">
        <f>LineOfCredit!C32+LineOfCredit!C33</f>
        <v>11225871.789776687</v>
      </c>
      <c r="D9" s="115">
        <f>LineOfCredit!C32+LineOfCredit!C33+LineOfCredit!C34</f>
        <v>29011551.984298602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58">
        <v>0</v>
      </c>
    </row>
    <row r="10" spans="1:16">
      <c r="A10" s="87" t="s">
        <v>192</v>
      </c>
      <c r="B10" s="115">
        <v>0</v>
      </c>
      <c r="C10" s="115">
        <v>0</v>
      </c>
      <c r="D10" s="115">
        <f>LineOfCredit!B36</f>
        <v>1160462079.371944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58">
        <v>0</v>
      </c>
    </row>
    <row r="11" spans="1:16">
      <c r="A11" s="87" t="s">
        <v>190</v>
      </c>
      <c r="B11" s="115">
        <v>0</v>
      </c>
      <c r="C11" s="115">
        <v>0</v>
      </c>
      <c r="D11" s="115">
        <v>0</v>
      </c>
      <c r="E11" s="115">
        <f>'Construction Bonds'!$I$75</f>
        <v>114109693.46600151</v>
      </c>
      <c r="F11" s="115">
        <f>'Construction Bonds'!$I$75</f>
        <v>114109693.46600151</v>
      </c>
      <c r="G11" s="115">
        <f>'Construction Bonds'!$I$75</f>
        <v>114109693.46600151</v>
      </c>
      <c r="H11" s="115">
        <f>'Construction Bonds'!$I$75+'Construction Bonds'!$I$87</f>
        <v>188375427.7149139</v>
      </c>
      <c r="I11" s="115">
        <f>'Construction Bonds'!$I$75+'Construction Bonds'!$I$87</f>
        <v>188375427.7149139</v>
      </c>
      <c r="J11" s="115">
        <f>'Construction Bonds'!$I$75+'Construction Bonds'!$I$87</f>
        <v>188375427.7149139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58">
        <v>0</v>
      </c>
    </row>
    <row r="12" spans="1:16">
      <c r="A12" s="87" t="s">
        <v>201</v>
      </c>
      <c r="B12" s="115">
        <v>0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f>'Construction Bonds'!B86</f>
        <v>4709385692.8728476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58">
        <v>0</v>
      </c>
    </row>
    <row r="13" spans="1:16">
      <c r="A13" s="87" t="s">
        <v>203</v>
      </c>
      <c r="B13" s="115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f>0.5*'Construction Bonds'!$C$94</f>
        <v>117800840.69458449</v>
      </c>
      <c r="K13" s="115">
        <f>'Construction Bonds'!$C$94</f>
        <v>235601681.38916898</v>
      </c>
      <c r="L13" s="115">
        <f>'Construction Bonds'!$C$94</f>
        <v>235601681.38916898</v>
      </c>
      <c r="M13" s="115">
        <f>'Construction Bonds'!$C$94</f>
        <v>235601681.38916898</v>
      </c>
      <c r="N13" s="115">
        <f>'Construction Bonds'!$C$94</f>
        <v>235601681.38916898</v>
      </c>
      <c r="O13" s="115">
        <f>'Construction Bonds'!$C$94</f>
        <v>235601681.38916898</v>
      </c>
      <c r="P13" s="158">
        <v>0</v>
      </c>
    </row>
    <row r="14" spans="1:16">
      <c r="A14" s="87" t="s">
        <v>204</v>
      </c>
      <c r="B14" s="115">
        <v>0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f>0.5*'USDA Low Interest Loan'!$A$9</f>
        <v>21426469.899999999</v>
      </c>
      <c r="K14" s="115">
        <f>'USDA Low Interest Loan'!$A$9</f>
        <v>42852939.799999997</v>
      </c>
      <c r="L14" s="115">
        <f>'USDA Low Interest Loan'!$A$9</f>
        <v>42852939.799999997</v>
      </c>
      <c r="M14" s="115">
        <f>'USDA Low Interest Loan'!$A$9</f>
        <v>42852939.799999997</v>
      </c>
      <c r="N14" s="115">
        <v>0</v>
      </c>
      <c r="O14" s="115">
        <v>0</v>
      </c>
      <c r="P14" s="158">
        <v>0</v>
      </c>
    </row>
    <row r="15" spans="1:16">
      <c r="A15" s="87" t="s">
        <v>206</v>
      </c>
      <c r="B15" s="115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f>0.5*'O&amp;M Cost Estimate'!$G$16+WaterQualMitigationMonitoring!$B$6</f>
        <v>4659793.8144329898</v>
      </c>
      <c r="K15" s="115">
        <f>'O&amp;M Cost Estimate'!$G$16+WaterQualMitigationMonitoring!$B$6</f>
        <v>7515463.9175257739</v>
      </c>
      <c r="L15" s="115">
        <f>'O&amp;M Cost Estimate'!$G$16+WaterQualMitigationMonitoring!$B$6</f>
        <v>7515463.9175257739</v>
      </c>
      <c r="M15" s="115">
        <f>'O&amp;M Cost Estimate'!$G$16+WaterQualMitigationMonitoring!$B$6</f>
        <v>7515463.9175257739</v>
      </c>
      <c r="N15" s="115">
        <f>'O&amp;M Cost Estimate'!$G$16+WaterQualMitigationMonitoring!$B$6</f>
        <v>7515463.9175257739</v>
      </c>
      <c r="O15" s="115">
        <f>'O&amp;M Cost Estimate'!$G$16+WaterQualMitigationMonitoring!$B$6</f>
        <v>7515463.9175257739</v>
      </c>
      <c r="P15" s="158">
        <f>'O&amp;M Cost Estimate'!$G$16+WaterQualMitigationMonitoring!$B$6</f>
        <v>7515463.9175257739</v>
      </c>
    </row>
    <row r="16" spans="1:16">
      <c r="A16" s="87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87"/>
      <c r="P16" s="156"/>
    </row>
    <row r="17" spans="1:16">
      <c r="A17" s="91" t="s">
        <v>182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87"/>
      <c r="P17" s="156"/>
    </row>
    <row r="18" spans="1:16">
      <c r="A18" s="87" t="s">
        <v>76</v>
      </c>
      <c r="B18" s="115">
        <f>'Prop 1 Funding'!F34</f>
        <v>11481375</v>
      </c>
      <c r="C18" s="115">
        <f>'Prop 1 Funding'!G34</f>
        <v>16073924.999999998</v>
      </c>
      <c r="D18" s="115">
        <f>'Prop 1 Funding'!H34</f>
        <v>18370200</v>
      </c>
      <c r="E18" s="115">
        <f>'Prop 1 Funding'!I34</f>
        <v>148018065</v>
      </c>
      <c r="F18" s="115">
        <f>'Prop 1 Funding'!J34</f>
        <v>139311120</v>
      </c>
      <c r="G18" s="115">
        <f>'Prop 1 Funding'!K34</f>
        <v>148018065</v>
      </c>
      <c r="H18" s="115">
        <f>'Prop 1 Funding'!L34</f>
        <v>148018065</v>
      </c>
      <c r="I18" s="115">
        <f>'Prop 1 Funding'!M34</f>
        <v>148018065</v>
      </c>
      <c r="J18" s="115">
        <f>'Prop 1 Funding'!N34</f>
        <v>139311120</v>
      </c>
      <c r="K18" s="115">
        <f>'Prop 1 Funding'!O34</f>
        <v>0</v>
      </c>
      <c r="L18" s="115">
        <f>'Prop 1 Funding'!P34</f>
        <v>0</v>
      </c>
      <c r="M18" s="115">
        <f>'Prop 1 Funding'!Q34</f>
        <v>0</v>
      </c>
      <c r="N18" s="115">
        <v>0</v>
      </c>
      <c r="O18" s="115">
        <v>0</v>
      </c>
      <c r="P18" s="158">
        <v>0</v>
      </c>
    </row>
    <row r="19" spans="1:16">
      <c r="A19" s="87" t="s">
        <v>183</v>
      </c>
      <c r="B19" s="115">
        <v>0</v>
      </c>
      <c r="C19" s="115">
        <v>0</v>
      </c>
      <c r="D19" s="115">
        <f>'USDA Low Interest Loan'!E26</f>
        <v>0</v>
      </c>
      <c r="E19" s="115">
        <f>'USDA Low Interest Loan'!F26</f>
        <v>125000000</v>
      </c>
      <c r="F19" s="115">
        <f>'USDA Low Interest Loan'!G26</f>
        <v>125000000</v>
      </c>
      <c r="G19" s="115">
        <f>'USDA Low Interest Loan'!H26</f>
        <v>125000000</v>
      </c>
      <c r="H19" s="115">
        <f>'USDA Low Interest Loan'!I26</f>
        <v>125000000</v>
      </c>
      <c r="I19" s="115">
        <f>'USDA Low Interest Loan'!J26</f>
        <v>0</v>
      </c>
      <c r="J19" s="115">
        <f>'USDA Low Interest Loan'!K26</f>
        <v>0</v>
      </c>
      <c r="K19" s="115">
        <v>0</v>
      </c>
      <c r="L19" s="115">
        <v>0</v>
      </c>
      <c r="M19" s="115">
        <v>0</v>
      </c>
      <c r="N19" s="115">
        <v>0</v>
      </c>
      <c r="O19" s="115">
        <v>0</v>
      </c>
      <c r="P19" s="158">
        <v>0</v>
      </c>
    </row>
    <row r="20" spans="1:16">
      <c r="A20" s="87" t="s">
        <v>184</v>
      </c>
      <c r="B20" s="115">
        <f>SUM(B8)-SUM(B18:B19,B5)</f>
        <v>106533974.9538008</v>
      </c>
      <c r="C20" s="115">
        <f t="shared" ref="C20:D20" si="1">SUM(C8)-SUM(C18:C19,C5)</f>
        <v>342500896.63726664</v>
      </c>
      <c r="D20" s="115">
        <f t="shared" si="1"/>
        <v>711427207.78087664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58">
        <v>0</v>
      </c>
    </row>
    <row r="21" spans="1:16">
      <c r="A21" s="87" t="s">
        <v>185</v>
      </c>
      <c r="B21" s="115">
        <v>0</v>
      </c>
      <c r="C21" s="115">
        <v>0</v>
      </c>
      <c r="D21" s="115">
        <f>'Construction Bonds'!B75</f>
        <v>2852742336.6500378</v>
      </c>
      <c r="E21" s="115">
        <v>0</v>
      </c>
      <c r="F21" s="115">
        <v>0</v>
      </c>
      <c r="G21" s="115">
        <v>0</v>
      </c>
      <c r="H21" s="115">
        <f>'Construction Bonds'!B78</f>
        <v>1856643356.2228098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58">
        <v>0</v>
      </c>
    </row>
    <row r="22" spans="1:16">
      <c r="A22" s="87" t="s">
        <v>186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f>'Construction Bonds'!B86</f>
        <v>4709385692.8728476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58">
        <v>0</v>
      </c>
    </row>
    <row r="23" spans="1:16">
      <c r="A23" s="87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87"/>
      <c r="P23" s="156"/>
    </row>
    <row r="24" spans="1:16">
      <c r="A24" s="87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87"/>
      <c r="P24" s="156"/>
    </row>
    <row r="25" spans="1:16" ht="45">
      <c r="A25" s="87" t="s">
        <v>205</v>
      </c>
      <c r="B25" s="115">
        <f>SUM(B9:B11)</f>
        <v>1997512.0303837652</v>
      </c>
      <c r="C25" s="115">
        <f>SUM(C9:C11)</f>
        <v>11225871.789776687</v>
      </c>
      <c r="D25" s="115">
        <f>SUM(D9)</f>
        <v>29011551.984298602</v>
      </c>
      <c r="E25" s="115">
        <f>SUM(E9:E11,E13:E14)</f>
        <v>114109693.46600151</v>
      </c>
      <c r="F25" s="115">
        <f>SUM(F9:F11,F13:F14)</f>
        <v>114109693.46600151</v>
      </c>
      <c r="G25" s="115">
        <f t="shared" ref="G25:I25" si="2">SUM(G9:G11,G13:G14)</f>
        <v>114109693.46600151</v>
      </c>
      <c r="H25" s="115">
        <f t="shared" si="2"/>
        <v>188375427.7149139</v>
      </c>
      <c r="I25" s="115">
        <f t="shared" si="2"/>
        <v>188375427.7149139</v>
      </c>
      <c r="J25" s="115">
        <f>SUM(J9:J11,J13:J15)</f>
        <v>332262532.12393135</v>
      </c>
      <c r="K25" s="115">
        <f t="shared" ref="K25:O25" si="3">SUM(K9:K11,K13:K15)</f>
        <v>285970085.10669476</v>
      </c>
      <c r="L25" s="115">
        <f t="shared" si="3"/>
        <v>285970085.10669476</v>
      </c>
      <c r="M25" s="115">
        <f t="shared" si="3"/>
        <v>285970085.10669476</v>
      </c>
      <c r="N25" s="115">
        <f t="shared" si="3"/>
        <v>243117145.30669475</v>
      </c>
      <c r="O25" s="115">
        <f t="shared" si="3"/>
        <v>243117145.30669475</v>
      </c>
      <c r="P25" s="158">
        <f t="shared" ref="P25" si="4">SUM(P9:P11,P13:P15)</f>
        <v>7515463.9175257739</v>
      </c>
    </row>
    <row r="26" spans="1:16">
      <c r="A26" s="87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87"/>
      <c r="P26" s="156"/>
    </row>
    <row r="27" spans="1:16">
      <c r="A27" s="87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87"/>
      <c r="P27" s="156"/>
    </row>
    <row r="28" spans="1:16">
      <c r="A28" s="87" t="s">
        <v>189</v>
      </c>
      <c r="B28" s="115">
        <f t="shared" ref="B28:I28" si="5">SUM(B5,B18:B25)-SUM(B8:B12)</f>
        <v>0</v>
      </c>
      <c r="C28" s="115">
        <f t="shared" si="5"/>
        <v>0</v>
      </c>
      <c r="D28" s="115">
        <f>SUM(D5,D18:D25)-SUM(D8:D12)</f>
        <v>1692280257.2780938</v>
      </c>
      <c r="E28" s="115">
        <f t="shared" si="5"/>
        <v>1251139983.4020901</v>
      </c>
      <c r="F28" s="115">
        <f t="shared" si="5"/>
        <v>591167959.14880013</v>
      </c>
      <c r="G28" s="115">
        <f t="shared" si="5"/>
        <v>0</v>
      </c>
      <c r="H28" s="115">
        <f t="shared" si="5"/>
        <v>1274738457.7507725</v>
      </c>
      <c r="I28" s="115">
        <f t="shared" si="5"/>
        <v>556222827.92043638</v>
      </c>
      <c r="J28" s="115">
        <f>SUM(J5,J18:J25)-SUM(J8:J15)</f>
        <v>0</v>
      </c>
      <c r="K28" s="115">
        <f t="shared" ref="K28:O28" si="6">SUM(K5,K18:K25)-SUM(K8:K15)</f>
        <v>0</v>
      </c>
      <c r="L28" s="115">
        <f t="shared" si="6"/>
        <v>0</v>
      </c>
      <c r="M28" s="115">
        <f t="shared" si="6"/>
        <v>0</v>
      </c>
      <c r="N28" s="115">
        <f t="shared" si="6"/>
        <v>0</v>
      </c>
      <c r="O28" s="115" t="e">
        <f t="shared" si="6"/>
        <v>#REF!</v>
      </c>
      <c r="P28" s="158" t="e">
        <f t="shared" ref="P28" si="7">SUM(P5,P18:P25)-SUM(P8:P15)</f>
        <v>#REF!</v>
      </c>
    </row>
    <row r="29" spans="1:16">
      <c r="A29" s="87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87"/>
      <c r="P29" s="156"/>
    </row>
    <row r="30" spans="1:16">
      <c r="A30" s="87"/>
      <c r="B30" s="115"/>
      <c r="C30" s="115"/>
      <c r="D30" s="115"/>
      <c r="E30" s="20"/>
      <c r="F30" s="115"/>
      <c r="G30" s="115"/>
      <c r="H30" s="115"/>
      <c r="I30" s="115"/>
      <c r="J30" s="115"/>
      <c r="K30" s="115"/>
      <c r="L30" s="115"/>
      <c r="M30" s="115"/>
      <c r="N30" s="115"/>
      <c r="O30" s="87"/>
      <c r="P30" s="156"/>
    </row>
    <row r="31" spans="1:16">
      <c r="A31" s="87" t="s">
        <v>200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87"/>
      <c r="P31" s="156"/>
    </row>
    <row r="32" spans="1:16">
      <c r="A32" s="87">
        <v>425000</v>
      </c>
      <c r="B32" s="20">
        <f>$B$25/A32</f>
        <v>4.7000283067853301</v>
      </c>
      <c r="C32" s="20">
        <f>C25/$A$32</f>
        <v>26.413815975945145</v>
      </c>
      <c r="D32" s="20">
        <f t="shared" ref="D32:O32" si="8">D25/$A$32</f>
        <v>68.262475257173179</v>
      </c>
      <c r="E32" s="20">
        <f t="shared" si="8"/>
        <v>268.49339639059178</v>
      </c>
      <c r="F32" s="20">
        <f t="shared" si="8"/>
        <v>268.49339639059178</v>
      </c>
      <c r="G32" s="20">
        <f t="shared" si="8"/>
        <v>268.49339639059178</v>
      </c>
      <c r="H32" s="20">
        <f t="shared" si="8"/>
        <v>443.23630050567976</v>
      </c>
      <c r="I32" s="20">
        <f t="shared" si="8"/>
        <v>443.23630050567976</v>
      </c>
      <c r="J32" s="20">
        <f t="shared" si="8"/>
        <v>781.79419323277966</v>
      </c>
      <c r="K32" s="20">
        <f t="shared" si="8"/>
        <v>672.87078848634064</v>
      </c>
      <c r="L32" s="20">
        <f t="shared" si="8"/>
        <v>672.87078848634064</v>
      </c>
      <c r="M32" s="20">
        <f t="shared" si="8"/>
        <v>672.87078848634064</v>
      </c>
      <c r="N32" s="20">
        <f t="shared" si="8"/>
        <v>572.04034189810534</v>
      </c>
      <c r="O32" s="20">
        <f t="shared" si="8"/>
        <v>572.04034189810534</v>
      </c>
      <c r="P32" s="20">
        <f t="shared" ref="P32" si="9">P25/$A$32</f>
        <v>17.68344451182535</v>
      </c>
    </row>
    <row r="33" spans="1:16">
      <c r="A33" s="87">
        <v>396950</v>
      </c>
      <c r="B33" s="20">
        <f t="shared" ref="B33:B38" si="10">$B$25/A33</f>
        <v>5.0321502213975693</v>
      </c>
      <c r="C33" s="20">
        <f>C25/A33</f>
        <v>28.280316890733559</v>
      </c>
      <c r="D33" s="20">
        <f>D25/$A$33</f>
        <v>73.086161945581566</v>
      </c>
      <c r="E33" s="20">
        <f t="shared" ref="E33:O33" si="11">E25/$A$33</f>
        <v>287.46616315909188</v>
      </c>
      <c r="F33" s="20">
        <f t="shared" si="11"/>
        <v>287.46616315909188</v>
      </c>
      <c r="G33" s="20">
        <f t="shared" si="11"/>
        <v>287.46616315909188</v>
      </c>
      <c r="H33" s="20">
        <f t="shared" si="11"/>
        <v>474.55706692256933</v>
      </c>
      <c r="I33" s="20">
        <f t="shared" si="11"/>
        <v>474.55706692256933</v>
      </c>
      <c r="J33" s="20">
        <f t="shared" si="11"/>
        <v>837.03875078456065</v>
      </c>
      <c r="K33" s="20">
        <f t="shared" si="11"/>
        <v>720.41840309030044</v>
      </c>
      <c r="L33" s="20">
        <f t="shared" si="11"/>
        <v>720.41840309030044</v>
      </c>
      <c r="M33" s="20">
        <f t="shared" si="11"/>
        <v>720.41840309030044</v>
      </c>
      <c r="N33" s="20">
        <f t="shared" si="11"/>
        <v>612.46289282452381</v>
      </c>
      <c r="O33" s="20">
        <f t="shared" si="11"/>
        <v>612.46289282452381</v>
      </c>
      <c r="P33" s="20">
        <f t="shared" ref="P33" si="12">P25/$A$33</f>
        <v>18.933024102596736</v>
      </c>
    </row>
    <row r="34" spans="1:16">
      <c r="A34" s="87">
        <v>385900</v>
      </c>
      <c r="B34" s="20">
        <f t="shared" si="10"/>
        <v>5.1762426286182048</v>
      </c>
      <c r="C34" s="20">
        <f>C25/$A$34</f>
        <v>29.090105700380114</v>
      </c>
      <c r="D34" s="20">
        <f t="shared" ref="D34:O34" si="13">D25/$A$34</f>
        <v>75.178937507899974</v>
      </c>
      <c r="E34" s="20">
        <f t="shared" si="13"/>
        <v>295.69757311739181</v>
      </c>
      <c r="F34" s="20">
        <f t="shared" si="13"/>
        <v>295.69757311739181</v>
      </c>
      <c r="G34" s="20">
        <f t="shared" si="13"/>
        <v>295.69757311739181</v>
      </c>
      <c r="H34" s="20">
        <f t="shared" si="13"/>
        <v>488.14570540273104</v>
      </c>
      <c r="I34" s="20">
        <f t="shared" si="13"/>
        <v>488.14570540273104</v>
      </c>
      <c r="J34" s="20">
        <f t="shared" si="13"/>
        <v>861.00682074094675</v>
      </c>
      <c r="K34" s="20">
        <f t="shared" si="13"/>
        <v>741.04712388363498</v>
      </c>
      <c r="L34" s="20">
        <f t="shared" si="13"/>
        <v>741.04712388363498</v>
      </c>
      <c r="M34" s="20">
        <f t="shared" si="13"/>
        <v>741.04712388363498</v>
      </c>
      <c r="N34" s="20">
        <f t="shared" si="13"/>
        <v>630.00037653976358</v>
      </c>
      <c r="O34" s="20">
        <f t="shared" si="13"/>
        <v>630.00037653976358</v>
      </c>
      <c r="P34" s="20">
        <f t="shared" ref="P34" si="14">P25/$A$34</f>
        <v>19.475159153992678</v>
      </c>
    </row>
    <row r="35" spans="1:16">
      <c r="A35" s="87">
        <v>374850</v>
      </c>
      <c r="B35" s="20">
        <f t="shared" si="10"/>
        <v>5.3288302798019611</v>
      </c>
      <c r="C35" s="20">
        <f>C25/$A$35</f>
        <v>29.947637160935539</v>
      </c>
      <c r="D35" s="20">
        <f t="shared" ref="D35:O35" si="15">D25/$A$35</f>
        <v>77.395096663461658</v>
      </c>
      <c r="E35" s="20">
        <f t="shared" si="15"/>
        <v>304.41428162198616</v>
      </c>
      <c r="F35" s="20">
        <f t="shared" si="15"/>
        <v>304.41428162198616</v>
      </c>
      <c r="G35" s="20">
        <f t="shared" si="15"/>
        <v>304.41428162198616</v>
      </c>
      <c r="H35" s="20">
        <f t="shared" si="15"/>
        <v>502.53548810167774</v>
      </c>
      <c r="I35" s="20">
        <f t="shared" si="15"/>
        <v>502.53548810167774</v>
      </c>
      <c r="J35" s="20">
        <f t="shared" si="15"/>
        <v>886.38797418682498</v>
      </c>
      <c r="K35" s="20">
        <f t="shared" si="15"/>
        <v>762.89205043802792</v>
      </c>
      <c r="L35" s="20">
        <f t="shared" si="15"/>
        <v>762.89205043802792</v>
      </c>
      <c r="M35" s="20">
        <f t="shared" si="15"/>
        <v>762.89205043802792</v>
      </c>
      <c r="N35" s="20">
        <f t="shared" si="15"/>
        <v>648.57181621100369</v>
      </c>
      <c r="O35" s="20">
        <f t="shared" si="15"/>
        <v>648.57181621100369</v>
      </c>
      <c r="P35" s="20">
        <f t="shared" ref="P35" si="16">P25/$A$35</f>
        <v>20.049256816128516</v>
      </c>
    </row>
    <row r="36" spans="1:16" s="150" customFormat="1">
      <c r="A36" s="91">
        <v>362100</v>
      </c>
      <c r="B36" s="39">
        <f t="shared" si="10"/>
        <v>5.5164651488090728</v>
      </c>
      <c r="C36" s="39">
        <f>C25/$A$36</f>
        <v>31.002131427165661</v>
      </c>
      <c r="D36" s="39">
        <f t="shared" ref="D36:O36" si="17">D25/$A$36</f>
        <v>80.120276123442707</v>
      </c>
      <c r="E36" s="39">
        <f t="shared" si="17"/>
        <v>315.1330943551547</v>
      </c>
      <c r="F36" s="39">
        <f t="shared" si="17"/>
        <v>315.1330943551547</v>
      </c>
      <c r="G36" s="39">
        <f t="shared" si="17"/>
        <v>315.1330943551547</v>
      </c>
      <c r="H36" s="39">
        <f t="shared" si="17"/>
        <v>520.23039965455371</v>
      </c>
      <c r="I36" s="39">
        <f t="shared" si="17"/>
        <v>520.23039965455371</v>
      </c>
      <c r="J36" s="39">
        <f t="shared" si="17"/>
        <v>917.59881834833288</v>
      </c>
      <c r="K36" s="39">
        <f t="shared" si="17"/>
        <v>789.75444658021195</v>
      </c>
      <c r="L36" s="39">
        <f t="shared" si="17"/>
        <v>789.75444658021195</v>
      </c>
      <c r="M36" s="39">
        <f t="shared" si="17"/>
        <v>789.75444658021195</v>
      </c>
      <c r="N36" s="39">
        <f t="shared" si="17"/>
        <v>671.40885199308127</v>
      </c>
      <c r="O36" s="39">
        <f t="shared" si="17"/>
        <v>671.40885199308127</v>
      </c>
      <c r="P36" s="39">
        <f t="shared" ref="P36" si="18">P25/$A$36</f>
        <v>20.755216563175292</v>
      </c>
    </row>
    <row r="37" spans="1:16">
      <c r="A37" s="87">
        <v>331500</v>
      </c>
      <c r="B37" s="20">
        <f t="shared" si="10"/>
        <v>6.025677316391449</v>
      </c>
      <c r="C37" s="20">
        <f>C25/$A$37</f>
        <v>33.863866635827108</v>
      </c>
      <c r="D37" s="20">
        <f t="shared" ref="D37:O37" si="19">D25/$A$37</f>
        <v>87.515993919452796</v>
      </c>
      <c r="E37" s="20">
        <f t="shared" si="19"/>
        <v>344.22230306486125</v>
      </c>
      <c r="F37" s="20">
        <f t="shared" si="19"/>
        <v>344.22230306486125</v>
      </c>
      <c r="G37" s="20">
        <f t="shared" si="19"/>
        <v>344.22230306486125</v>
      </c>
      <c r="H37" s="20">
        <f t="shared" si="19"/>
        <v>568.25166731497404</v>
      </c>
      <c r="I37" s="20">
        <f t="shared" si="19"/>
        <v>568.25166731497404</v>
      </c>
      <c r="J37" s="20">
        <f t="shared" si="19"/>
        <v>1002.3002477343329</v>
      </c>
      <c r="K37" s="20">
        <f t="shared" si="19"/>
        <v>862.65485703376999</v>
      </c>
      <c r="L37" s="20">
        <f t="shared" si="19"/>
        <v>862.65485703376999</v>
      </c>
      <c r="M37" s="20">
        <f t="shared" si="19"/>
        <v>862.65485703376999</v>
      </c>
      <c r="N37" s="20">
        <f t="shared" si="19"/>
        <v>733.38505371551958</v>
      </c>
      <c r="O37" s="20">
        <f t="shared" si="19"/>
        <v>733.38505371551958</v>
      </c>
      <c r="P37" s="20">
        <f t="shared" ref="P37" si="20">P25/$A$37</f>
        <v>22.671082707468397</v>
      </c>
    </row>
    <row r="38" spans="1:16">
      <c r="A38" s="87">
        <v>303450</v>
      </c>
      <c r="B38" s="20">
        <f t="shared" si="10"/>
        <v>6.5826726985788939</v>
      </c>
      <c r="C38" s="20">
        <f>C25/$A$38</f>
        <v>36.994140022332132</v>
      </c>
      <c r="D38" s="20">
        <f t="shared" ref="D38:O38" si="21">D25/$A$38</f>
        <v>95.605707643099691</v>
      </c>
      <c r="E38" s="20">
        <f t="shared" si="21"/>
        <v>376.04117141539467</v>
      </c>
      <c r="F38" s="20">
        <f t="shared" si="21"/>
        <v>376.04117141539467</v>
      </c>
      <c r="G38" s="20">
        <f t="shared" si="21"/>
        <v>376.04117141539467</v>
      </c>
      <c r="H38" s="20">
        <f t="shared" si="21"/>
        <v>620.77913236089603</v>
      </c>
      <c r="I38" s="20">
        <f t="shared" si="21"/>
        <v>620.77913236089603</v>
      </c>
      <c r="J38" s="20">
        <f t="shared" si="21"/>
        <v>1094.949850466078</v>
      </c>
      <c r="K38" s="20">
        <f t="shared" si="21"/>
        <v>942.39606230579921</v>
      </c>
      <c r="L38" s="20">
        <f t="shared" si="21"/>
        <v>942.39606230579921</v>
      </c>
      <c r="M38" s="20">
        <f t="shared" si="21"/>
        <v>942.39606230579921</v>
      </c>
      <c r="N38" s="20">
        <f t="shared" si="21"/>
        <v>801.17694943712229</v>
      </c>
      <c r="O38" s="20">
        <f t="shared" si="21"/>
        <v>801.17694943712229</v>
      </c>
      <c r="P38" s="20">
        <f t="shared" ref="P38" si="22">P25/$A$38</f>
        <v>24.766729008158755</v>
      </c>
    </row>
    <row r="39" spans="1:16">
      <c r="A39" s="87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87"/>
      <c r="P39" s="156"/>
    </row>
    <row r="40" spans="1:16">
      <c r="A40" s="87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87"/>
      <c r="P40" s="156"/>
    </row>
    <row r="41" spans="1:16">
      <c r="A41" s="116" t="s">
        <v>229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6"/>
      <c r="P41" s="156"/>
    </row>
    <row r="42" spans="1:16">
      <c r="A42" s="66">
        <v>5.0000000000000001E-3</v>
      </c>
      <c r="B42" s="43">
        <f>B25*$A$42</f>
        <v>9987.5601519188258</v>
      </c>
      <c r="C42" s="43">
        <f t="shared" ref="C42:O42" si="23">C25*$A$42</f>
        <v>56129.358948883433</v>
      </c>
      <c r="D42" s="43">
        <f>D25*$A$42</f>
        <v>145057.75992149301</v>
      </c>
      <c r="E42" s="43">
        <f t="shared" si="23"/>
        <v>570548.46733000758</v>
      </c>
      <c r="F42" s="43">
        <f t="shared" si="23"/>
        <v>570548.46733000758</v>
      </c>
      <c r="G42" s="43">
        <f t="shared" si="23"/>
        <v>570548.46733000758</v>
      </c>
      <c r="H42" s="43">
        <f t="shared" si="23"/>
        <v>941877.13857456949</v>
      </c>
      <c r="I42" s="43">
        <f t="shared" si="23"/>
        <v>941877.13857456949</v>
      </c>
      <c r="J42" s="43">
        <f t="shared" si="23"/>
        <v>1661312.6606196568</v>
      </c>
      <c r="K42" s="43">
        <f t="shared" si="23"/>
        <v>1429850.4255334737</v>
      </c>
      <c r="L42" s="43">
        <f t="shared" si="23"/>
        <v>1429850.4255334737</v>
      </c>
      <c r="M42" s="43">
        <f t="shared" si="23"/>
        <v>1429850.4255334737</v>
      </c>
      <c r="N42" s="43">
        <f t="shared" si="23"/>
        <v>1215585.7265334737</v>
      </c>
      <c r="O42" s="43">
        <f t="shared" si="23"/>
        <v>1215585.7265334737</v>
      </c>
      <c r="P42" s="43">
        <f t="shared" ref="P42" si="24">P25*$A$42</f>
        <v>37577.319587628874</v>
      </c>
    </row>
    <row r="43" spans="1:16">
      <c r="A43" s="66">
        <v>7.4999999999999997E-3</v>
      </c>
      <c r="B43" s="43">
        <f>B25*$A$43</f>
        <v>14981.340227878238</v>
      </c>
      <c r="C43" s="43">
        <f t="shared" ref="C43:O43" si="25">C25*$A$43</f>
        <v>84194.038423325153</v>
      </c>
      <c r="D43" s="43">
        <f t="shared" si="25"/>
        <v>217586.63988223951</v>
      </c>
      <c r="E43" s="43">
        <f t="shared" si="25"/>
        <v>855822.70099501126</v>
      </c>
      <c r="F43" s="43">
        <f t="shared" si="25"/>
        <v>855822.70099501126</v>
      </c>
      <c r="G43" s="43">
        <f t="shared" si="25"/>
        <v>855822.70099501126</v>
      </c>
      <c r="H43" s="43">
        <f t="shared" si="25"/>
        <v>1412815.7078618542</v>
      </c>
      <c r="I43" s="43">
        <f t="shared" si="25"/>
        <v>1412815.7078618542</v>
      </c>
      <c r="J43" s="43">
        <f t="shared" si="25"/>
        <v>2491968.9909294848</v>
      </c>
      <c r="K43" s="43">
        <f t="shared" si="25"/>
        <v>2144775.6383002107</v>
      </c>
      <c r="L43" s="43">
        <f t="shared" si="25"/>
        <v>2144775.6383002107</v>
      </c>
      <c r="M43" s="43">
        <f t="shared" si="25"/>
        <v>2144775.6383002107</v>
      </c>
      <c r="N43" s="43">
        <f t="shared" si="25"/>
        <v>1823378.5898002104</v>
      </c>
      <c r="O43" s="43">
        <f t="shared" si="25"/>
        <v>1823378.5898002104</v>
      </c>
      <c r="P43" s="43">
        <f t="shared" ref="P43" si="26">P25*$A$43</f>
        <v>56365.9793814433</v>
      </c>
    </row>
    <row r="44" spans="1:16">
      <c r="A44" s="66">
        <v>0.01</v>
      </c>
      <c r="B44" s="43">
        <f>B25*$A$44</f>
        <v>19975.120303837652</v>
      </c>
      <c r="C44" s="43">
        <f t="shared" ref="C44:O44" si="27">C25*$A$44</f>
        <v>112258.71789776687</v>
      </c>
      <c r="D44" s="43">
        <f t="shared" si="27"/>
        <v>290115.51984298602</v>
      </c>
      <c r="E44" s="43">
        <f t="shared" si="27"/>
        <v>1141096.9346600152</v>
      </c>
      <c r="F44" s="43">
        <f t="shared" si="27"/>
        <v>1141096.9346600152</v>
      </c>
      <c r="G44" s="43">
        <f t="shared" si="27"/>
        <v>1141096.9346600152</v>
      </c>
      <c r="H44" s="43">
        <f t="shared" si="27"/>
        <v>1883754.277149139</v>
      </c>
      <c r="I44" s="43">
        <f t="shared" si="27"/>
        <v>1883754.277149139</v>
      </c>
      <c r="J44" s="43">
        <f t="shared" si="27"/>
        <v>3322625.3212393136</v>
      </c>
      <c r="K44" s="43">
        <f t="shared" si="27"/>
        <v>2859700.8510669474</v>
      </c>
      <c r="L44" s="43">
        <f t="shared" si="27"/>
        <v>2859700.8510669474</v>
      </c>
      <c r="M44" s="43">
        <f t="shared" si="27"/>
        <v>2859700.8510669474</v>
      </c>
      <c r="N44" s="43">
        <f t="shared" si="27"/>
        <v>2431171.4530669474</v>
      </c>
      <c r="O44" s="43">
        <f t="shared" si="27"/>
        <v>2431171.4530669474</v>
      </c>
      <c r="P44" s="43">
        <f t="shared" ref="P44" si="28">P25*$A$44</f>
        <v>75154.639175257747</v>
      </c>
    </row>
    <row r="45" spans="1:16">
      <c r="A45" s="66">
        <v>1.2500000000000001E-2</v>
      </c>
      <c r="B45" s="43">
        <f>B25*$A$45</f>
        <v>24968.900379797065</v>
      </c>
      <c r="C45" s="43">
        <f t="shared" ref="C45:O45" si="29">C25*$A$45</f>
        <v>140323.39737220859</v>
      </c>
      <c r="D45" s="43">
        <f t="shared" si="29"/>
        <v>362644.39980373252</v>
      </c>
      <c r="E45" s="43">
        <f t="shared" si="29"/>
        <v>1426371.1683250191</v>
      </c>
      <c r="F45" s="43">
        <f t="shared" si="29"/>
        <v>1426371.1683250191</v>
      </c>
      <c r="G45" s="43">
        <f t="shared" si="29"/>
        <v>1426371.1683250191</v>
      </c>
      <c r="H45" s="43">
        <f t="shared" si="29"/>
        <v>2354692.8464364237</v>
      </c>
      <c r="I45" s="43">
        <f t="shared" si="29"/>
        <v>2354692.8464364237</v>
      </c>
      <c r="J45" s="43">
        <f t="shared" si="29"/>
        <v>4153281.6515491419</v>
      </c>
      <c r="K45" s="43">
        <f t="shared" si="29"/>
        <v>3574626.0638336847</v>
      </c>
      <c r="L45" s="43">
        <f t="shared" si="29"/>
        <v>3574626.0638336847</v>
      </c>
      <c r="M45" s="43">
        <f t="shared" si="29"/>
        <v>3574626.0638336847</v>
      </c>
      <c r="N45" s="43">
        <f t="shared" si="29"/>
        <v>3038964.3163336846</v>
      </c>
      <c r="O45" s="43">
        <f t="shared" si="29"/>
        <v>3038964.3163336846</v>
      </c>
      <c r="P45" s="43">
        <f t="shared" ref="P45" si="30">P25*$A$45</f>
        <v>93943.298969072173</v>
      </c>
    </row>
    <row r="46" spans="1:16">
      <c r="A46" s="66">
        <v>1.4999999999999999E-2</v>
      </c>
      <c r="B46" s="43">
        <f>B25*$A$46</f>
        <v>29962.680455756476</v>
      </c>
      <c r="C46" s="43">
        <f t="shared" ref="C46:O46" si="31">C25*$A$46</f>
        <v>168388.07684665031</v>
      </c>
      <c r="D46" s="43">
        <f t="shared" si="31"/>
        <v>435173.27976447903</v>
      </c>
      <c r="E46" s="43">
        <f t="shared" si="31"/>
        <v>1711645.4019900225</v>
      </c>
      <c r="F46" s="43">
        <f t="shared" si="31"/>
        <v>1711645.4019900225</v>
      </c>
      <c r="G46" s="43">
        <f t="shared" si="31"/>
        <v>1711645.4019900225</v>
      </c>
      <c r="H46" s="43">
        <f t="shared" si="31"/>
        <v>2825631.4157237085</v>
      </c>
      <c r="I46" s="43">
        <f t="shared" si="31"/>
        <v>2825631.4157237085</v>
      </c>
      <c r="J46" s="43">
        <f t="shared" si="31"/>
        <v>4983937.9818589697</v>
      </c>
      <c r="K46" s="43">
        <f t="shared" si="31"/>
        <v>4289551.2766004214</v>
      </c>
      <c r="L46" s="43">
        <f t="shared" si="31"/>
        <v>4289551.2766004214</v>
      </c>
      <c r="M46" s="43">
        <f t="shared" si="31"/>
        <v>4289551.2766004214</v>
      </c>
      <c r="N46" s="43">
        <f t="shared" si="31"/>
        <v>3646757.1796004209</v>
      </c>
      <c r="O46" s="43">
        <f t="shared" si="31"/>
        <v>3646757.1796004209</v>
      </c>
      <c r="P46" s="43">
        <f t="shared" ref="P46" si="32">P25*$A$46</f>
        <v>112731.9587628866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81"/>
  <sheetViews>
    <sheetView topLeftCell="A49" workbookViewId="0">
      <selection activeCell="C23" sqref="C23"/>
    </sheetView>
  </sheetViews>
  <sheetFormatPr defaultRowHeight="15"/>
  <cols>
    <col min="1" max="1" width="8.140625" style="160" bestFit="1" customWidth="1"/>
    <col min="2" max="2" width="18.42578125" style="43" customWidth="1"/>
    <col min="3" max="4" width="14.28515625" style="43" bestFit="1" customWidth="1"/>
    <col min="5" max="5" width="13.5703125" style="43" bestFit="1" customWidth="1"/>
    <col min="6" max="6" width="10.7109375" style="43" customWidth="1"/>
    <col min="7" max="7" width="15.5703125" style="43" bestFit="1" customWidth="1"/>
    <col min="8" max="8" width="12" style="43" bestFit="1" customWidth="1"/>
    <col min="9" max="14" width="18.42578125" style="160" customWidth="1"/>
    <col min="15" max="15" width="18.42578125" style="43" customWidth="1"/>
    <col min="16" max="30" width="18.42578125" style="160" customWidth="1"/>
  </cols>
  <sheetData>
    <row r="2" spans="1:30" ht="30">
      <c r="A2" s="160" t="s">
        <v>316</v>
      </c>
      <c r="B2" s="43" t="s">
        <v>317</v>
      </c>
      <c r="C2" s="43" t="s">
        <v>319</v>
      </c>
      <c r="D2" s="43" t="s">
        <v>320</v>
      </c>
      <c r="E2" s="43" t="s">
        <v>321</v>
      </c>
      <c r="F2" s="43" t="s">
        <v>322</v>
      </c>
      <c r="G2" s="43" t="s">
        <v>323</v>
      </c>
      <c r="H2" s="43" t="s">
        <v>324</v>
      </c>
      <c r="O2" s="43" t="s">
        <v>325</v>
      </c>
    </row>
    <row r="3" spans="1:30">
      <c r="A3" s="160" t="s">
        <v>6</v>
      </c>
      <c r="B3" s="43" t="s">
        <v>318</v>
      </c>
    </row>
    <row r="5" spans="1:30">
      <c r="A5" s="160">
        <v>2004</v>
      </c>
      <c r="B5" s="43">
        <f>7.93+17.1</f>
        <v>25.03</v>
      </c>
    </row>
    <row r="6" spans="1:30">
      <c r="A6" s="160">
        <v>2005</v>
      </c>
      <c r="B6" s="43">
        <f>7.93+17.1</f>
        <v>25.03</v>
      </c>
    </row>
    <row r="7" spans="1:30">
      <c r="A7" s="160">
        <v>2006</v>
      </c>
      <c r="B7" s="43">
        <f>8.24+18.71</f>
        <v>26.950000000000003</v>
      </c>
      <c r="E7" s="43">
        <v>75</v>
      </c>
      <c r="O7" s="43">
        <f t="shared" ref="O7:O14" si="0">AVERAGE(C7:E7,H7)</f>
        <v>75</v>
      </c>
    </row>
    <row r="8" spans="1:30">
      <c r="A8" s="160">
        <v>2007</v>
      </c>
      <c r="B8" s="43">
        <f>0.11+8.58+20.94</f>
        <v>29.630000000000003</v>
      </c>
      <c r="E8" s="43">
        <v>149</v>
      </c>
      <c r="O8" s="43">
        <f t="shared" si="0"/>
        <v>149</v>
      </c>
    </row>
    <row r="9" spans="1:30">
      <c r="A9" s="160">
        <v>2008</v>
      </c>
      <c r="B9" s="43">
        <f>0.07+8.79+20.06</f>
        <v>28.919999999999998</v>
      </c>
      <c r="E9" s="43">
        <v>225</v>
      </c>
      <c r="H9" s="43">
        <v>125</v>
      </c>
      <c r="O9" s="43">
        <f t="shared" si="0"/>
        <v>175</v>
      </c>
    </row>
    <row r="10" spans="1:30">
      <c r="A10" s="160">
        <v>2009</v>
      </c>
      <c r="B10" s="43">
        <f>0.07+9.06+19.85</f>
        <v>28.980000000000004</v>
      </c>
      <c r="D10" s="43">
        <f>B10+63</f>
        <v>91.98</v>
      </c>
      <c r="E10" s="43">
        <v>270</v>
      </c>
      <c r="H10" s="43">
        <v>250</v>
      </c>
      <c r="O10" s="43">
        <f t="shared" si="0"/>
        <v>203.99333333333334</v>
      </c>
    </row>
    <row r="11" spans="1:30">
      <c r="A11" s="160">
        <v>2010</v>
      </c>
      <c r="B11" s="43">
        <f>0.11+9.11+19.39</f>
        <v>28.61</v>
      </c>
      <c r="E11" s="43">
        <v>180</v>
      </c>
      <c r="H11" s="43">
        <v>200</v>
      </c>
      <c r="O11" s="43">
        <f t="shared" si="0"/>
        <v>190</v>
      </c>
    </row>
    <row r="12" spans="1:30">
      <c r="A12" s="160">
        <v>2011</v>
      </c>
      <c r="B12" s="43">
        <f>0.05+9.29+21.03</f>
        <v>30.37</v>
      </c>
      <c r="E12" s="43">
        <v>75</v>
      </c>
      <c r="O12" s="43">
        <f t="shared" si="0"/>
        <v>75</v>
      </c>
    </row>
    <row r="13" spans="1:30">
      <c r="A13" s="160">
        <v>2012</v>
      </c>
      <c r="B13" s="43">
        <f>0.05+9.39+21.9</f>
        <v>31.34</v>
      </c>
      <c r="C13" s="43">
        <v>154</v>
      </c>
      <c r="E13" s="43">
        <v>150</v>
      </c>
      <c r="O13" s="43">
        <f t="shared" si="0"/>
        <v>152</v>
      </c>
    </row>
    <row r="14" spans="1:30">
      <c r="A14" s="160">
        <v>2013</v>
      </c>
      <c r="B14" s="43">
        <f>0.05+9.79+25.14</f>
        <v>34.980000000000004</v>
      </c>
      <c r="C14" s="43">
        <v>168</v>
      </c>
      <c r="E14" s="43">
        <v>165</v>
      </c>
      <c r="H14" s="43">
        <v>200</v>
      </c>
      <c r="O14" s="43">
        <f t="shared" si="0"/>
        <v>177.66666666666666</v>
      </c>
    </row>
    <row r="15" spans="1:30">
      <c r="A15" s="160">
        <v>2014</v>
      </c>
      <c r="B15" s="43">
        <f>0.23+9.99+27.26</f>
        <v>37.480000000000004</v>
      </c>
      <c r="C15" s="43">
        <f>(300+400)/2</f>
        <v>350</v>
      </c>
      <c r="D15" s="43">
        <f>B15+325</f>
        <v>362.48</v>
      </c>
      <c r="E15" s="43">
        <f t="shared" ref="E15:E46" si="1">(1.131*A15)-2111.5</f>
        <v>166.33399999999983</v>
      </c>
      <c r="H15" s="43">
        <v>500</v>
      </c>
      <c r="O15" s="43">
        <f>AVERAGE(C15:E15,H15)</f>
        <v>344.70349999999996</v>
      </c>
    </row>
    <row r="16" spans="1:30">
      <c r="A16" s="163">
        <v>2015</v>
      </c>
      <c r="B16" s="43">
        <f>0.23+10.07+28.28</f>
        <v>38.58</v>
      </c>
      <c r="C16" s="43">
        <v>665</v>
      </c>
      <c r="D16" s="43">
        <f>B16+400</f>
        <v>438.58</v>
      </c>
      <c r="E16" s="43">
        <f t="shared" si="1"/>
        <v>167.46500000000015</v>
      </c>
      <c r="F16" s="43">
        <f>100*CPI!S87</f>
        <v>100</v>
      </c>
      <c r="G16" s="43">
        <v>0</v>
      </c>
      <c r="H16" s="43">
        <v>700</v>
      </c>
      <c r="I16" s="163"/>
      <c r="J16" s="163"/>
      <c r="K16" s="163"/>
      <c r="L16" s="163"/>
      <c r="M16" s="163"/>
      <c r="N16" s="163"/>
      <c r="O16" s="43">
        <f>AVERAGE(C16:E16,H16)</f>
        <v>492.76125000000002</v>
      </c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</row>
    <row r="17" spans="1:15">
      <c r="A17" s="160">
        <v>2016</v>
      </c>
      <c r="B17" s="43">
        <f>0.3+10.21+41.65</f>
        <v>52.16</v>
      </c>
      <c r="E17" s="43">
        <f t="shared" si="1"/>
        <v>168.596</v>
      </c>
      <c r="F17" s="43">
        <f>100*CPI!S88</f>
        <v>101.26151288726126</v>
      </c>
      <c r="G17" s="43">
        <v>0</v>
      </c>
      <c r="O17" s="43">
        <f>AVERAGE(C17:E17,H17)</f>
        <v>168.596</v>
      </c>
    </row>
    <row r="18" spans="1:15">
      <c r="A18" s="160">
        <v>2017</v>
      </c>
      <c r="B18" s="43">
        <f>0.3+10.23+35.27</f>
        <v>45.800000000000004</v>
      </c>
      <c r="D18" s="43">
        <f>71.86-13.59</f>
        <v>58.269999999999996</v>
      </c>
      <c r="E18" s="43">
        <f t="shared" si="1"/>
        <v>169.72699999999986</v>
      </c>
      <c r="F18" s="43">
        <f>100*CPI!S89</f>
        <v>103.41874211554445</v>
      </c>
      <c r="G18" s="43">
        <v>0</v>
      </c>
      <c r="O18" s="43">
        <f>AVERAGE(C18:E18,H18)</f>
        <v>113.99849999999992</v>
      </c>
    </row>
    <row r="19" spans="1:15">
      <c r="A19" s="160">
        <v>2018</v>
      </c>
      <c r="B19" s="43">
        <f>0.3+10.47+44.14</f>
        <v>54.910000000000004</v>
      </c>
      <c r="D19" s="43">
        <f>((8*61.53)+(2*47.88))/10</f>
        <v>58.8</v>
      </c>
      <c r="E19" s="43">
        <f t="shared" si="1"/>
        <v>170.85800000000017</v>
      </c>
      <c r="F19" s="43">
        <f>100*CPI!S90</f>
        <v>105.86903049148376</v>
      </c>
      <c r="G19" s="43">
        <v>0</v>
      </c>
      <c r="H19" s="43">
        <v>400</v>
      </c>
      <c r="O19" s="43">
        <f>AVERAGE(C19:E19,H19)</f>
        <v>209.88600000000005</v>
      </c>
    </row>
    <row r="20" spans="1:15">
      <c r="A20" s="160">
        <v>2019</v>
      </c>
      <c r="B20" s="43">
        <f>(1.9144*A20)-3815.3</f>
        <v>49.873599999999897</v>
      </c>
      <c r="E20" s="43">
        <f t="shared" si="1"/>
        <v>171.98900000000003</v>
      </c>
      <c r="F20" s="43">
        <f>100*CPI!S91</f>
        <v>107.8044190923014</v>
      </c>
      <c r="G20" s="43">
        <v>0</v>
      </c>
    </row>
    <row r="21" spans="1:15">
      <c r="A21" s="160">
        <v>2020</v>
      </c>
      <c r="B21" s="43">
        <f>50.66</f>
        <v>50.66</v>
      </c>
      <c r="C21" s="43">
        <f>350</f>
        <v>350</v>
      </c>
      <c r="E21" s="43">
        <f t="shared" si="1"/>
        <v>173.11999999999989</v>
      </c>
      <c r="F21" s="43">
        <f>100*CPI!S92</f>
        <v>109.73980769311909</v>
      </c>
      <c r="G21" s="43">
        <v>0</v>
      </c>
    </row>
    <row r="22" spans="1:15">
      <c r="A22" s="160">
        <v>2021</v>
      </c>
      <c r="B22" s="43">
        <v>49.77</v>
      </c>
      <c r="C22" s="43">
        <f>575</f>
        <v>575</v>
      </c>
      <c r="D22" s="43">
        <f>(275+350)/2</f>
        <v>312.5</v>
      </c>
      <c r="E22" s="43">
        <f t="shared" si="1"/>
        <v>174.2510000000002</v>
      </c>
      <c r="F22" s="43">
        <f>100*CPI!S93</f>
        <v>111.67519629393674</v>
      </c>
      <c r="G22" s="43">
        <v>0</v>
      </c>
    </row>
    <row r="23" spans="1:15">
      <c r="A23" s="160">
        <v>2022</v>
      </c>
      <c r="B23" s="43">
        <f t="shared" ref="B23:B81" si="2">(1.9144*A23)-3815.3</f>
        <v>55.616800000000239</v>
      </c>
      <c r="E23" s="43">
        <f t="shared" si="1"/>
        <v>175.38200000000006</v>
      </c>
      <c r="F23" s="43">
        <f>100*CPI!S94</f>
        <v>113.6105848947544</v>
      </c>
      <c r="G23" s="43">
        <v>0</v>
      </c>
    </row>
    <row r="24" spans="1:15">
      <c r="A24" s="160">
        <v>2023</v>
      </c>
      <c r="B24" s="43">
        <f t="shared" si="2"/>
        <v>57.531199999999899</v>
      </c>
      <c r="E24" s="43">
        <f t="shared" si="1"/>
        <v>176.51299999999992</v>
      </c>
      <c r="F24" s="43">
        <f>100*CPI!S95</f>
        <v>115.54597349557206</v>
      </c>
      <c r="G24" s="43">
        <v>0</v>
      </c>
    </row>
    <row r="25" spans="1:15">
      <c r="A25" s="160">
        <v>2024</v>
      </c>
      <c r="B25" s="43">
        <f t="shared" si="2"/>
        <v>59.445600000000013</v>
      </c>
      <c r="E25" s="43">
        <f t="shared" si="1"/>
        <v>177.64400000000023</v>
      </c>
      <c r="F25" s="43">
        <f>100*CPI!S96</f>
        <v>117.48136209638973</v>
      </c>
      <c r="G25" s="43">
        <v>0</v>
      </c>
    </row>
    <row r="26" spans="1:15">
      <c r="A26" s="160">
        <v>2025</v>
      </c>
      <c r="B26" s="43">
        <f t="shared" si="2"/>
        <v>61.360000000000127</v>
      </c>
      <c r="E26" s="43">
        <f t="shared" si="1"/>
        <v>178.77500000000009</v>
      </c>
      <c r="F26" s="43">
        <f>100*CPI!S97</f>
        <v>119.41675069720739</v>
      </c>
      <c r="G26" s="43">
        <v>0</v>
      </c>
    </row>
    <row r="27" spans="1:15">
      <c r="A27" s="160">
        <v>2026</v>
      </c>
      <c r="B27" s="43">
        <f t="shared" si="2"/>
        <v>63.274400000000242</v>
      </c>
      <c r="E27" s="43">
        <f t="shared" si="1"/>
        <v>179.90599999999995</v>
      </c>
      <c r="F27" s="43">
        <f>100*CPI!S98</f>
        <v>121.35213929802504</v>
      </c>
      <c r="G27" s="43">
        <v>0</v>
      </c>
    </row>
    <row r="28" spans="1:15">
      <c r="A28" s="160">
        <v>2027</v>
      </c>
      <c r="B28" s="43">
        <f t="shared" si="2"/>
        <v>65.188799999999901</v>
      </c>
      <c r="E28" s="43">
        <f t="shared" si="1"/>
        <v>181.03699999999981</v>
      </c>
      <c r="F28" s="43">
        <f>100*CPI!S99</f>
        <v>123.2875278988427</v>
      </c>
      <c r="G28" s="43">
        <v>0</v>
      </c>
    </row>
    <row r="29" spans="1:15">
      <c r="A29" s="160">
        <v>2028</v>
      </c>
      <c r="B29" s="43">
        <f t="shared" si="2"/>
        <v>67.103200000000015</v>
      </c>
      <c r="E29" s="43">
        <f t="shared" si="1"/>
        <v>182.16800000000012</v>
      </c>
      <c r="F29" s="43">
        <f>100*CPI!S100</f>
        <v>125.2229164996604</v>
      </c>
      <c r="G29" s="43">
        <v>0</v>
      </c>
    </row>
    <row r="30" spans="1:15">
      <c r="A30" s="160">
        <v>2029</v>
      </c>
      <c r="B30" s="43">
        <f t="shared" si="2"/>
        <v>69.01760000000013</v>
      </c>
      <c r="E30" s="43">
        <f t="shared" si="1"/>
        <v>183.29899999999998</v>
      </c>
      <c r="F30" s="43">
        <f>100*CPI!S101</f>
        <v>127.15830510047806</v>
      </c>
      <c r="G30" s="43">
        <v>0</v>
      </c>
    </row>
    <row r="31" spans="1:15">
      <c r="A31" s="160">
        <v>2030</v>
      </c>
      <c r="B31" s="43">
        <f t="shared" si="2"/>
        <v>70.932000000000244</v>
      </c>
      <c r="E31" s="43">
        <f t="shared" si="1"/>
        <v>184.42999999999984</v>
      </c>
      <c r="F31" s="43">
        <f>100*CPI!S102</f>
        <v>129.09369370129571</v>
      </c>
      <c r="G31" s="43">
        <f>800/CPI!S102</f>
        <v>619.70494224999504</v>
      </c>
    </row>
    <row r="32" spans="1:15">
      <c r="A32" s="160">
        <v>2031</v>
      </c>
      <c r="B32" s="43">
        <f t="shared" si="2"/>
        <v>72.846399999999903</v>
      </c>
      <c r="E32" s="43">
        <f t="shared" si="1"/>
        <v>185.56100000000015</v>
      </c>
      <c r="F32" s="43">
        <f>100*CPI!S103</f>
        <v>131.02908230211335</v>
      </c>
      <c r="G32" s="43">
        <f>800/CPI!S103</f>
        <v>610.55147906435184</v>
      </c>
    </row>
    <row r="33" spans="1:13">
      <c r="A33" s="160">
        <v>2032</v>
      </c>
      <c r="B33" s="43">
        <f t="shared" si="2"/>
        <v>74.760800000000017</v>
      </c>
      <c r="E33" s="43">
        <f t="shared" si="1"/>
        <v>186.69200000000001</v>
      </c>
      <c r="F33" s="43">
        <f>100*CPI!S104</f>
        <v>132.96447090293105</v>
      </c>
      <c r="G33" s="43">
        <f>800/CPI!S104</f>
        <v>601.66448568356986</v>
      </c>
    </row>
    <row r="34" spans="1:13">
      <c r="A34" s="160">
        <v>2033</v>
      </c>
      <c r="B34" s="43">
        <f t="shared" si="2"/>
        <v>76.675200000000132</v>
      </c>
      <c r="E34" s="43">
        <f t="shared" si="1"/>
        <v>187.82299999999987</v>
      </c>
      <c r="F34" s="43">
        <f>100*CPI!S105</f>
        <v>134.8998595037487</v>
      </c>
      <c r="G34" s="43">
        <f>800/CPI!S105</f>
        <v>593.03249309742159</v>
      </c>
      <c r="J34" s="235">
        <v>2030</v>
      </c>
      <c r="K34" s="43">
        <v>760.22729050175781</v>
      </c>
      <c r="L34" s="43">
        <v>813.94784850295264</v>
      </c>
      <c r="M34" s="152">
        <f>800</f>
        <v>800</v>
      </c>
    </row>
    <row r="35" spans="1:13">
      <c r="A35" s="160">
        <v>2034</v>
      </c>
      <c r="B35" s="43">
        <f t="shared" si="2"/>
        <v>78.589600000000246</v>
      </c>
      <c r="E35" s="43">
        <f t="shared" si="1"/>
        <v>188.95400000000018</v>
      </c>
      <c r="F35" s="43">
        <f>100*CPI!S106</f>
        <v>136.83524810456635</v>
      </c>
      <c r="G35" s="43">
        <f>800/CPI!S106</f>
        <v>584.64468116333478</v>
      </c>
      <c r="J35" s="235">
        <v>2031</v>
      </c>
      <c r="K35" s="43">
        <v>760.22729050175781</v>
      </c>
      <c r="L35" s="43">
        <v>813.94784850295264</v>
      </c>
      <c r="M35" s="152">
        <f>800</f>
        <v>800</v>
      </c>
    </row>
    <row r="36" spans="1:13">
      <c r="A36" s="160">
        <v>2035</v>
      </c>
      <c r="B36" s="43">
        <f t="shared" si="2"/>
        <v>80.503999999999905</v>
      </c>
      <c r="E36" s="43">
        <f t="shared" si="1"/>
        <v>190.08500000000004</v>
      </c>
      <c r="F36" s="43">
        <f>100*CPI!S107</f>
        <v>138.77063670538402</v>
      </c>
      <c r="G36" s="43">
        <f>800/CPI!S107</f>
        <v>576.49083335866953</v>
      </c>
      <c r="J36" s="235">
        <v>2059</v>
      </c>
      <c r="K36" s="43">
        <v>760.22729285469893</v>
      </c>
      <c r="L36" s="43">
        <v>813.94785102216167</v>
      </c>
      <c r="M36" s="152">
        <f>800</f>
        <v>800</v>
      </c>
    </row>
    <row r="37" spans="1:13">
      <c r="A37" s="160">
        <v>2036</v>
      </c>
      <c r="B37" s="43">
        <f t="shared" si="2"/>
        <v>82.41840000000002</v>
      </c>
      <c r="E37" s="43">
        <f t="shared" si="1"/>
        <v>191.21599999999989</v>
      </c>
      <c r="F37" s="43">
        <f>100*CPI!S108</f>
        <v>140.70602530620167</v>
      </c>
      <c r="G37" s="43">
        <f>800/CPI!S108</f>
        <v>568.56129526724658</v>
      </c>
      <c r="J37" s="235">
        <v>2060</v>
      </c>
      <c r="K37" s="43">
        <v>659.3968439135225</v>
      </c>
      <c r="L37" s="43">
        <v>705.99233823717611</v>
      </c>
      <c r="M37" s="152">
        <f>750</f>
        <v>750</v>
      </c>
    </row>
    <row r="38" spans="1:13">
      <c r="A38" s="160">
        <v>2037</v>
      </c>
      <c r="B38" s="43">
        <f t="shared" si="2"/>
        <v>84.332800000000134</v>
      </c>
      <c r="E38" s="43">
        <f t="shared" si="1"/>
        <v>192.34700000000021</v>
      </c>
      <c r="F38" s="43">
        <f>100*CPI!S109</f>
        <v>142.64141390701934</v>
      </c>
      <c r="G38" s="43">
        <f>800/CPI!S109</f>
        <v>560.84693644545553</v>
      </c>
      <c r="J38" s="235">
        <v>2069</v>
      </c>
      <c r="K38" s="43">
        <v>659.3968439135225</v>
      </c>
      <c r="L38" s="43">
        <v>705.99233823717611</v>
      </c>
      <c r="M38" s="152">
        <f>750</f>
        <v>750</v>
      </c>
    </row>
    <row r="39" spans="1:13">
      <c r="A39" s="160">
        <v>2038</v>
      </c>
      <c r="B39" s="43">
        <f t="shared" si="2"/>
        <v>86.247200000000248</v>
      </c>
      <c r="E39" s="43">
        <f t="shared" si="1"/>
        <v>193.47800000000007</v>
      </c>
      <c r="F39" s="43">
        <f>100*CPI!S110</f>
        <v>144.57680250783699</v>
      </c>
      <c r="G39" s="43">
        <f>800/CPI!S110</f>
        <v>553.33911535125753</v>
      </c>
      <c r="J39" s="235">
        <v>2070</v>
      </c>
      <c r="K39" s="43">
        <v>17.683446864766527</v>
      </c>
      <c r="L39" s="43">
        <v>18.933026621805702</v>
      </c>
      <c r="M39" s="152">
        <f>50</f>
        <v>50</v>
      </c>
    </row>
    <row r="40" spans="1:13">
      <c r="A40" s="160">
        <v>2039</v>
      </c>
      <c r="B40" s="43">
        <f t="shared" si="2"/>
        <v>88.161599999999908</v>
      </c>
      <c r="E40" s="43">
        <f t="shared" si="1"/>
        <v>194.60899999999992</v>
      </c>
      <c r="F40" s="43">
        <f>100*CPI!S111</f>
        <v>146.51219110865466</v>
      </c>
      <c r="G40" s="43">
        <f>800/CPI!S111</f>
        <v>546.02964705286081</v>
      </c>
    </row>
    <row r="41" spans="1:13">
      <c r="A41" s="160">
        <v>2040</v>
      </c>
      <c r="B41" s="43">
        <f t="shared" si="2"/>
        <v>90.076000000000022</v>
      </c>
      <c r="E41" s="43">
        <f t="shared" si="1"/>
        <v>195.74000000000024</v>
      </c>
      <c r="F41" s="43">
        <f>100*CPI!S112</f>
        <v>148.44757970947231</v>
      </c>
      <c r="G41" s="43">
        <f>800/CPI!S112</f>
        <v>538.91077346339023</v>
      </c>
    </row>
    <row r="42" spans="1:13">
      <c r="A42" s="160">
        <v>2041</v>
      </c>
      <c r="B42" s="43">
        <f t="shared" si="2"/>
        <v>91.990400000000136</v>
      </c>
      <c r="E42" s="43">
        <f t="shared" si="1"/>
        <v>196.87100000000009</v>
      </c>
      <c r="F42" s="43">
        <f>100*CPI!S113</f>
        <v>150.38296831029001</v>
      </c>
      <c r="G42" s="43">
        <f>800/CPI!S113</f>
        <v>531.97513587398691</v>
      </c>
    </row>
    <row r="43" spans="1:13">
      <c r="A43" s="160">
        <v>2042</v>
      </c>
      <c r="B43" s="43">
        <f t="shared" si="2"/>
        <v>93.90480000000025</v>
      </c>
      <c r="E43" s="43">
        <f t="shared" si="1"/>
        <v>198.00199999999995</v>
      </c>
      <c r="F43" s="43">
        <f>100*CPI!S114</f>
        <v>152.31835691110766</v>
      </c>
      <c r="G43" s="43">
        <f>800/CPI!S114</f>
        <v>525.21574958091003</v>
      </c>
    </row>
    <row r="44" spans="1:13">
      <c r="A44" s="160">
        <v>2043</v>
      </c>
      <c r="B44" s="43">
        <f t="shared" si="2"/>
        <v>95.81919999999991</v>
      </c>
      <c r="E44" s="43">
        <f t="shared" si="1"/>
        <v>199.13299999999981</v>
      </c>
      <c r="F44" s="43">
        <f>100*CPI!S115</f>
        <v>154.25374551192533</v>
      </c>
      <c r="G44" s="43">
        <f>800/CPI!S115</f>
        <v>518.62598042272634</v>
      </c>
    </row>
    <row r="45" spans="1:13">
      <c r="A45" s="160">
        <v>2044</v>
      </c>
      <c r="B45" s="43">
        <f t="shared" si="2"/>
        <v>97.733600000000024</v>
      </c>
      <c r="E45" s="43">
        <f t="shared" si="1"/>
        <v>200.26400000000012</v>
      </c>
      <c r="F45" s="43">
        <f>100*CPI!S116</f>
        <v>156.18913411274298</v>
      </c>
      <c r="G45" s="43">
        <f>800/CPI!S116</f>
        <v>512.19952306191226</v>
      </c>
    </row>
    <row r="46" spans="1:13">
      <c r="A46" s="160">
        <v>2045</v>
      </c>
      <c r="B46" s="43">
        <f t="shared" si="2"/>
        <v>99.648000000000138</v>
      </c>
      <c r="E46" s="43">
        <f t="shared" si="1"/>
        <v>201.39499999999998</v>
      </c>
      <c r="F46" s="43">
        <f>100*CPI!S117</f>
        <v>158.12452271356065</v>
      </c>
      <c r="G46" s="43">
        <f>800/CPI!S117</f>
        <v>505.93038086140734</v>
      </c>
    </row>
    <row r="47" spans="1:13">
      <c r="A47" s="160">
        <v>2046</v>
      </c>
      <c r="B47" s="43">
        <f t="shared" si="2"/>
        <v>101.56240000000025</v>
      </c>
      <c r="E47" s="43">
        <f t="shared" ref="E47:E81" si="3">(1.131*A47)-2111.5</f>
        <v>202.52599999999984</v>
      </c>
      <c r="F47" s="43">
        <f>100*CPI!S118</f>
        <v>160.05991131437833</v>
      </c>
      <c r="G47" s="43">
        <f>800/CPI!S118</f>
        <v>499.81284722112383</v>
      </c>
    </row>
    <row r="48" spans="1:13">
      <c r="A48" s="160">
        <v>2047</v>
      </c>
      <c r="B48" s="43">
        <f t="shared" si="2"/>
        <v>103.47679999999991</v>
      </c>
      <c r="E48" s="43">
        <f t="shared" si="3"/>
        <v>203.65700000000015</v>
      </c>
      <c r="F48" s="43">
        <f>100*CPI!S119</f>
        <v>161.99529991519597</v>
      </c>
      <c r="G48" s="43">
        <f>800/CPI!S119</f>
        <v>493.84148825231193</v>
      </c>
    </row>
    <row r="49" spans="1:7">
      <c r="A49" s="160">
        <v>2048</v>
      </c>
      <c r="B49" s="43">
        <f t="shared" si="2"/>
        <v>105.39120000000003</v>
      </c>
      <c r="E49" s="43">
        <f t="shared" si="3"/>
        <v>204.78800000000001</v>
      </c>
      <c r="F49" s="43">
        <f>100*CPI!S120</f>
        <v>163.93068851601362</v>
      </c>
      <c r="G49" s="43">
        <f>800/CPI!S120</f>
        <v>488.0111266792195</v>
      </c>
    </row>
    <row r="50" spans="1:7">
      <c r="A50" s="160">
        <v>2049</v>
      </c>
      <c r="B50" s="43">
        <f t="shared" si="2"/>
        <v>107.30560000000014</v>
      </c>
      <c r="E50" s="43">
        <f t="shared" si="3"/>
        <v>205.91899999999987</v>
      </c>
      <c r="F50" s="43">
        <f>100*CPI!S121</f>
        <v>165.86607711683129</v>
      </c>
      <c r="G50" s="43">
        <f>800/CPI!S121</f>
        <v>482.31682686780067</v>
      </c>
    </row>
    <row r="51" spans="1:7">
      <c r="A51" s="160">
        <v>2050</v>
      </c>
      <c r="B51" s="43">
        <f t="shared" si="2"/>
        <v>109.2199999999998</v>
      </c>
      <c r="E51" s="43">
        <f t="shared" si="3"/>
        <v>207.05000000000018</v>
      </c>
      <c r="F51" s="43">
        <f>100*CPI!S122</f>
        <v>167.80146571764897</v>
      </c>
      <c r="G51" s="43">
        <f>800/CPI!S122</f>
        <v>476.75388089048016</v>
      </c>
    </row>
    <row r="52" spans="1:7">
      <c r="A52" s="160">
        <v>2051</v>
      </c>
      <c r="B52" s="43">
        <f t="shared" si="2"/>
        <v>111.13439999999991</v>
      </c>
      <c r="E52" s="43">
        <f t="shared" si="3"/>
        <v>208.18100000000004</v>
      </c>
      <c r="F52" s="43">
        <f>100*CPI!S123</f>
        <v>169.73685431846661</v>
      </c>
      <c r="G52" s="43">
        <f>800/CPI!S123</f>
        <v>471.31779554427834</v>
      </c>
    </row>
    <row r="53" spans="1:7">
      <c r="A53" s="160">
        <v>2052</v>
      </c>
      <c r="B53" s="43">
        <f t="shared" si="2"/>
        <v>113.04880000000003</v>
      </c>
      <c r="E53" s="43">
        <f t="shared" si="3"/>
        <v>209.3119999999999</v>
      </c>
      <c r="F53" s="43">
        <f>100*CPI!S124</f>
        <v>171.67224291928426</v>
      </c>
      <c r="G53" s="43">
        <f>800/CPI!S124</f>
        <v>466.00428024706287</v>
      </c>
    </row>
    <row r="54" spans="1:7">
      <c r="A54" s="160">
        <v>2053</v>
      </c>
      <c r="B54" s="43">
        <f t="shared" si="2"/>
        <v>114.96320000000014</v>
      </c>
      <c r="E54" s="43">
        <f t="shared" si="3"/>
        <v>210.44300000000021</v>
      </c>
      <c r="F54" s="43">
        <f>100*CPI!S125</f>
        <v>173.60763152010193</v>
      </c>
      <c r="G54" s="43">
        <f>800/CPI!S125</f>
        <v>460.80923574340011</v>
      </c>
    </row>
    <row r="55" spans="1:7">
      <c r="A55" s="160">
        <v>2054</v>
      </c>
      <c r="B55" s="43">
        <f t="shared" si="2"/>
        <v>116.8775999999998</v>
      </c>
      <c r="E55" s="43">
        <f t="shared" si="3"/>
        <v>211.57400000000007</v>
      </c>
      <c r="F55" s="43">
        <f>100*CPI!S126</f>
        <v>175.54302012091964</v>
      </c>
      <c r="G55" s="43">
        <f>800/CPI!S126</f>
        <v>455.72874355752481</v>
      </c>
    </row>
    <row r="56" spans="1:7">
      <c r="A56" s="160">
        <v>2055</v>
      </c>
      <c r="B56" s="43">
        <f t="shared" si="2"/>
        <v>118.79199999999992</v>
      </c>
      <c r="E56" s="43">
        <f t="shared" si="3"/>
        <v>212.70499999999993</v>
      </c>
      <c r="F56" s="43">
        <f>100*CPI!S127</f>
        <v>177.47840872173728</v>
      </c>
      <c r="G56" s="43">
        <f>800/CPI!S127</f>
        <v>450.75905613639708</v>
      </c>
    </row>
    <row r="57" spans="1:7">
      <c r="A57" s="160">
        <v>2056</v>
      </c>
      <c r="B57" s="43">
        <f t="shared" si="2"/>
        <v>120.70640000000003</v>
      </c>
      <c r="E57" s="43">
        <f t="shared" si="3"/>
        <v>213.83599999999979</v>
      </c>
      <c r="F57" s="43">
        <f>100*CPI!S128</f>
        <v>179.41379732255493</v>
      </c>
      <c r="G57" s="43">
        <f>800/CPI!S128</f>
        <v>445.89658763073754</v>
      </c>
    </row>
    <row r="58" spans="1:7">
      <c r="A58" s="160">
        <v>2057</v>
      </c>
      <c r="B58" s="43">
        <f t="shared" si="2"/>
        <v>122.62080000000014</v>
      </c>
      <c r="E58" s="43">
        <f t="shared" si="3"/>
        <v>214.9670000000001</v>
      </c>
      <c r="F58" s="43">
        <f>100*CPI!S129</f>
        <v>181.3491859233726</v>
      </c>
      <c r="G58" s="43">
        <f>800/CPI!S129</f>
        <v>441.13790526638064</v>
      </c>
    </row>
    <row r="59" spans="1:7">
      <c r="A59" s="160">
        <v>2058</v>
      </c>
      <c r="B59" s="43">
        <f t="shared" si="2"/>
        <v>124.5351999999998</v>
      </c>
      <c r="E59" s="43">
        <f t="shared" si="3"/>
        <v>216.09799999999996</v>
      </c>
      <c r="F59" s="43">
        <f>100*CPI!S130</f>
        <v>183.28457452419028</v>
      </c>
      <c r="G59" s="43">
        <f>800/CPI!S130</f>
        <v>436.4797212623119</v>
      </c>
    </row>
    <row r="60" spans="1:7">
      <c r="A60" s="160">
        <v>2059</v>
      </c>
      <c r="B60" s="43">
        <f t="shared" si="2"/>
        <v>126.44959999999992</v>
      </c>
      <c r="E60" s="43">
        <f t="shared" si="3"/>
        <v>217.22899999999981</v>
      </c>
      <c r="F60" s="43">
        <f>100*CPI!S131</f>
        <v>185.21996312500792</v>
      </c>
      <c r="G60" s="43">
        <f>800/CPI!S131</f>
        <v>431.91888525540151</v>
      </c>
    </row>
    <row r="61" spans="1:7">
      <c r="A61" s="160">
        <v>2060</v>
      </c>
      <c r="B61" s="43">
        <f t="shared" si="2"/>
        <v>128.36400000000003</v>
      </c>
      <c r="E61" s="43">
        <f t="shared" si="3"/>
        <v>218.36000000000013</v>
      </c>
      <c r="F61" s="43">
        <f>100*CPI!S132</f>
        <v>187.15535172582557</v>
      </c>
      <c r="G61" s="43">
        <f>750/CPI!S132</f>
        <v>400.7366036204603</v>
      </c>
    </row>
    <row r="62" spans="1:7">
      <c r="A62" s="160">
        <v>2061</v>
      </c>
      <c r="B62" s="43">
        <f t="shared" si="2"/>
        <v>130.27840000000015</v>
      </c>
      <c r="E62" s="43">
        <f t="shared" si="3"/>
        <v>219.49099999999999</v>
      </c>
      <c r="F62" s="43">
        <f>100*CPI!S133</f>
        <v>189.09074032664327</v>
      </c>
      <c r="G62" s="43">
        <f>750/CPI!S133</f>
        <v>396.63496938264592</v>
      </c>
    </row>
    <row r="63" spans="1:7">
      <c r="A63" s="160">
        <v>2062</v>
      </c>
      <c r="B63" s="43">
        <f t="shared" si="2"/>
        <v>132.19279999999981</v>
      </c>
      <c r="E63" s="43">
        <f t="shared" si="3"/>
        <v>220.62199999999984</v>
      </c>
      <c r="F63" s="43">
        <f>100*CPI!S134</f>
        <v>191.02612892746092</v>
      </c>
      <c r="G63" s="43">
        <f>750/CPI!S134</f>
        <v>392.61644687612363</v>
      </c>
    </row>
    <row r="64" spans="1:7">
      <c r="A64" s="160">
        <v>2063</v>
      </c>
      <c r="B64" s="43">
        <f t="shared" si="2"/>
        <v>134.10719999999992</v>
      </c>
      <c r="E64" s="43">
        <f t="shared" si="3"/>
        <v>221.75300000000016</v>
      </c>
      <c r="F64" s="43">
        <f>100*CPI!S135</f>
        <v>192.96151752827856</v>
      </c>
      <c r="G64" s="43">
        <f>750/CPI!S135</f>
        <v>388.67853528882375</v>
      </c>
    </row>
    <row r="65" spans="1:7">
      <c r="A65" s="160">
        <v>2064</v>
      </c>
      <c r="B65" s="43">
        <f t="shared" si="2"/>
        <v>136.02160000000003</v>
      </c>
      <c r="E65" s="43">
        <f t="shared" si="3"/>
        <v>222.88400000000001</v>
      </c>
      <c r="F65" s="43">
        <f>100*CPI!S136</f>
        <v>194.89690612909624</v>
      </c>
      <c r="G65" s="43">
        <f>750/CPI!S136</f>
        <v>384.81883314413079</v>
      </c>
    </row>
    <row r="66" spans="1:7">
      <c r="A66" s="160">
        <v>2065</v>
      </c>
      <c r="B66" s="43">
        <f t="shared" si="2"/>
        <v>137.93600000000015</v>
      </c>
      <c r="E66" s="43">
        <f t="shared" si="3"/>
        <v>224.01499999999987</v>
      </c>
      <c r="F66" s="43">
        <f>100*CPI!S137</f>
        <v>196.83229472991391</v>
      </c>
      <c r="G66" s="43">
        <f>750/CPI!S137</f>
        <v>381.03503341721574</v>
      </c>
    </row>
    <row r="67" spans="1:7">
      <c r="A67" s="160">
        <v>2066</v>
      </c>
      <c r="B67" s="43">
        <f t="shared" si="2"/>
        <v>139.85039999999981</v>
      </c>
      <c r="E67" s="43">
        <f t="shared" si="3"/>
        <v>225.14600000000019</v>
      </c>
      <c r="F67" s="43">
        <f>100*CPI!S138</f>
        <v>198.76768333073159</v>
      </c>
      <c r="G67" s="43">
        <f>750/CPI!S138</f>
        <v>377.32491893668015</v>
      </c>
    </row>
    <row r="68" spans="1:7">
      <c r="A68" s="160">
        <v>2067</v>
      </c>
      <c r="B68" s="43">
        <f t="shared" si="2"/>
        <v>141.76479999999992</v>
      </c>
      <c r="E68" s="43">
        <f t="shared" si="3"/>
        <v>226.27700000000004</v>
      </c>
      <c r="F68" s="43">
        <f>100*CPI!S139</f>
        <v>200.70307193154923</v>
      </c>
      <c r="G68" s="43">
        <f>750/CPI!S139</f>
        <v>373.68635805225301</v>
      </c>
    </row>
    <row r="69" spans="1:7">
      <c r="A69" s="160">
        <v>2068</v>
      </c>
      <c r="B69" s="43">
        <f t="shared" si="2"/>
        <v>143.67920000000004</v>
      </c>
      <c r="E69" s="43">
        <f t="shared" si="3"/>
        <v>227.4079999999999</v>
      </c>
      <c r="F69" s="43">
        <f>100*CPI!S140</f>
        <v>202.63846053236691</v>
      </c>
      <c r="G69" s="43">
        <f>750/CPI!S140</f>
        <v>370.11730055075327</v>
      </c>
    </row>
    <row r="70" spans="1:7">
      <c r="A70" s="160">
        <v>2069</v>
      </c>
      <c r="B70" s="43">
        <f t="shared" si="2"/>
        <v>145.59360000000015</v>
      </c>
      <c r="E70" s="43">
        <f t="shared" si="3"/>
        <v>228.53900000000021</v>
      </c>
      <c r="F70" s="43">
        <f>100*CPI!S141</f>
        <v>204.57384913318455</v>
      </c>
      <c r="G70" s="43">
        <f>750/CPI!S141</f>
        <v>366.61577380387678</v>
      </c>
    </row>
    <row r="71" spans="1:7">
      <c r="A71" s="160">
        <v>2070</v>
      </c>
      <c r="B71" s="43">
        <f t="shared" si="2"/>
        <v>147.50799999999981</v>
      </c>
      <c r="E71" s="43">
        <f t="shared" si="3"/>
        <v>229.67000000000007</v>
      </c>
      <c r="F71" s="43">
        <f>100*CPI!S142</f>
        <v>206.50923773400223</v>
      </c>
      <c r="G71" s="43">
        <f>50/CPI!S142</f>
        <v>24.211991942173242</v>
      </c>
    </row>
    <row r="72" spans="1:7">
      <c r="A72" s="160">
        <v>2071</v>
      </c>
      <c r="B72" s="43">
        <f t="shared" si="2"/>
        <v>149.42239999999993</v>
      </c>
      <c r="E72" s="43">
        <f t="shared" si="3"/>
        <v>230.80099999999993</v>
      </c>
      <c r="F72" s="43">
        <f>100*CPI!S143</f>
        <v>208.4446263348199</v>
      </c>
      <c r="G72" s="43">
        <f>50/CPI!S143</f>
        <v>23.987185891607552</v>
      </c>
    </row>
    <row r="73" spans="1:7">
      <c r="A73" s="160">
        <v>2072</v>
      </c>
      <c r="B73" s="43">
        <f t="shared" si="2"/>
        <v>151.33680000000004</v>
      </c>
      <c r="E73" s="43">
        <f t="shared" si="3"/>
        <v>231.93199999999979</v>
      </c>
      <c r="F73" s="43">
        <f>100*CPI!S144</f>
        <v>210.38001493563755</v>
      </c>
      <c r="G73" s="43">
        <f>50/CPI!S144</f>
        <v>23.766516042551245</v>
      </c>
    </row>
    <row r="74" spans="1:7">
      <c r="A74" s="160">
        <v>2073</v>
      </c>
      <c r="B74" s="43">
        <f t="shared" si="2"/>
        <v>153.25120000000015</v>
      </c>
      <c r="E74" s="43">
        <f t="shared" si="3"/>
        <v>233.0630000000001</v>
      </c>
      <c r="F74" s="43">
        <f>100*CPI!S145</f>
        <v>212.31540353645522</v>
      </c>
      <c r="G74" s="43">
        <f>50/CPI!S145</f>
        <v>23.549869282760184</v>
      </c>
    </row>
    <row r="75" spans="1:7">
      <c r="A75" s="160">
        <v>2074</v>
      </c>
      <c r="B75" s="43">
        <f t="shared" si="2"/>
        <v>155.16559999999981</v>
      </c>
      <c r="E75" s="43">
        <f t="shared" si="3"/>
        <v>234.19399999999996</v>
      </c>
      <c r="F75" s="43">
        <f>100*CPI!S146</f>
        <v>214.25079213727284</v>
      </c>
      <c r="G75" s="43">
        <f>50/CPI!S146</f>
        <v>23.337136587091099</v>
      </c>
    </row>
    <row r="76" spans="1:7">
      <c r="A76" s="160">
        <v>2075</v>
      </c>
      <c r="B76" s="43">
        <f t="shared" si="2"/>
        <v>157.07999999999993</v>
      </c>
      <c r="E76" s="43">
        <f t="shared" si="3"/>
        <v>235.32499999999982</v>
      </c>
      <c r="F76" s="43">
        <f>100*CPI!S147</f>
        <v>216.18618073809051</v>
      </c>
      <c r="G76" s="43">
        <f>50/CPI!S147</f>
        <v>23.12821283455439</v>
      </c>
    </row>
    <row r="77" spans="1:7">
      <c r="A77" s="160">
        <v>2076</v>
      </c>
      <c r="B77" s="43">
        <f t="shared" si="2"/>
        <v>158.99440000000004</v>
      </c>
      <c r="E77" s="43">
        <f t="shared" si="3"/>
        <v>236.45600000000013</v>
      </c>
      <c r="F77" s="43">
        <f>100*CPI!S148</f>
        <v>218.12156933890816</v>
      </c>
      <c r="G77" s="43">
        <f>50/CPI!S148</f>
        <v>22.92299663510677</v>
      </c>
    </row>
    <row r="78" spans="1:7">
      <c r="A78" s="160">
        <v>2077</v>
      </c>
      <c r="B78" s="43">
        <f t="shared" si="2"/>
        <v>160.90880000000016</v>
      </c>
      <c r="E78" s="43">
        <f t="shared" si="3"/>
        <v>237.58699999999999</v>
      </c>
      <c r="F78" s="43">
        <f>100*CPI!S149</f>
        <v>220.05695793972583</v>
      </c>
      <c r="G78" s="43">
        <f>50/CPI!S149</f>
        <v>22.721390165583916</v>
      </c>
    </row>
    <row r="79" spans="1:7">
      <c r="A79" s="160">
        <v>2078</v>
      </c>
      <c r="B79" s="43">
        <f t="shared" si="2"/>
        <v>162.82319999999982</v>
      </c>
      <c r="E79" s="43">
        <f t="shared" si="3"/>
        <v>238.71799999999985</v>
      </c>
      <c r="F79" s="43">
        <f>100*CPI!S150</f>
        <v>221.99234654054348</v>
      </c>
      <c r="G79" s="43">
        <f>50/CPI!S150</f>
        <v>22.523299014215461</v>
      </c>
    </row>
    <row r="80" spans="1:7">
      <c r="A80" s="160">
        <v>2079</v>
      </c>
      <c r="B80" s="43">
        <f t="shared" si="2"/>
        <v>164.73759999999993</v>
      </c>
      <c r="E80" s="43">
        <f t="shared" si="3"/>
        <v>239.84900000000016</v>
      </c>
      <c r="F80" s="43">
        <f>100*CPI!S151</f>
        <v>223.92773514136118</v>
      </c>
      <c r="G80" s="43">
        <f>50/CPI!S151</f>
        <v>22.328632033203025</v>
      </c>
    </row>
    <row r="81" spans="1:7">
      <c r="A81" s="160">
        <v>2080</v>
      </c>
      <c r="B81" s="43">
        <f t="shared" si="2"/>
        <v>166.65200000000004</v>
      </c>
      <c r="E81" s="43">
        <f t="shared" si="3"/>
        <v>240.98000000000002</v>
      </c>
      <c r="F81" s="43">
        <f>100*CPI!S152</f>
        <v>225.86312374217889</v>
      </c>
      <c r="G81" s="43">
        <f>50/CPI!S152</f>
        <v>22.137301198877704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activeCell="L7" sqref="L7"/>
    </sheetView>
  </sheetViews>
  <sheetFormatPr defaultColWidth="8.7109375" defaultRowHeight="15"/>
  <cols>
    <col min="1" max="1" width="17.42578125" style="235" customWidth="1"/>
    <col min="2" max="3" width="8.7109375" style="235"/>
    <col min="4" max="4" width="10.85546875" style="235" customWidth="1"/>
    <col min="5" max="10" width="8.7109375" style="235"/>
    <col min="11" max="11" width="13.28515625" style="235" bestFit="1" customWidth="1"/>
    <col min="12" max="12" width="17.42578125" style="235" customWidth="1"/>
    <col min="13" max="13" width="13.28515625" style="235" bestFit="1" customWidth="1"/>
    <col min="14" max="14" width="8.7109375" style="235"/>
    <col min="15" max="15" width="12.140625" style="235" bestFit="1" customWidth="1"/>
    <col min="16" max="16" width="8.7109375" style="235"/>
    <col min="17" max="17" width="11.28515625" style="235" customWidth="1"/>
    <col min="18" max="16384" width="8.7109375" style="235"/>
  </cols>
  <sheetData>
    <row r="1" spans="1:18" ht="30">
      <c r="A1" s="235" t="s">
        <v>404</v>
      </c>
    </row>
    <row r="2" spans="1:18">
      <c r="A2" s="20">
        <f>800</f>
        <v>800</v>
      </c>
      <c r="D2" s="20"/>
    </row>
    <row r="6" spans="1:18">
      <c r="A6" s="235" t="s">
        <v>405</v>
      </c>
      <c r="B6" s="235" t="s">
        <v>409</v>
      </c>
    </row>
    <row r="7" spans="1:18" ht="30">
      <c r="A7" s="235" t="s">
        <v>406</v>
      </c>
      <c r="B7" s="20">
        <v>75</v>
      </c>
    </row>
    <row r="8" spans="1:18" ht="30">
      <c r="A8" s="235" t="s">
        <v>407</v>
      </c>
      <c r="B8" s="20">
        <v>200</v>
      </c>
    </row>
    <row r="9" spans="1:18">
      <c r="A9" s="235" t="s">
        <v>408</v>
      </c>
      <c r="B9" s="20">
        <f>575</f>
        <v>575</v>
      </c>
    </row>
    <row r="13" spans="1:18">
      <c r="A13" s="235" t="s">
        <v>410</v>
      </c>
    </row>
    <row r="16" spans="1:18" ht="60">
      <c r="A16" s="235" t="s">
        <v>6</v>
      </c>
      <c r="B16" s="235" t="s">
        <v>411</v>
      </c>
      <c r="C16" s="235" t="s">
        <v>412</v>
      </c>
      <c r="D16" s="235" t="s">
        <v>415</v>
      </c>
      <c r="E16" s="235" t="s">
        <v>416</v>
      </c>
      <c r="F16" s="235" t="s">
        <v>419</v>
      </c>
      <c r="G16" s="235" t="s">
        <v>429</v>
      </c>
      <c r="H16" s="235" t="s">
        <v>417</v>
      </c>
      <c r="I16" s="235" t="s">
        <v>418</v>
      </c>
      <c r="J16" s="235" t="s">
        <v>420</v>
      </c>
      <c r="K16" s="235" t="s">
        <v>421</v>
      </c>
      <c r="L16" s="235" t="s">
        <v>422</v>
      </c>
      <c r="M16" s="235" t="s">
        <v>423</v>
      </c>
      <c r="N16" s="235" t="s">
        <v>428</v>
      </c>
      <c r="O16" s="235" t="s">
        <v>424</v>
      </c>
      <c r="Q16" s="235" t="s">
        <v>426</v>
      </c>
      <c r="R16" s="235" t="s">
        <v>427</v>
      </c>
    </row>
    <row r="17" spans="1:18">
      <c r="A17" s="235">
        <v>1</v>
      </c>
      <c r="B17" s="20">
        <f>125</f>
        <v>125</v>
      </c>
      <c r="C17" s="235" t="s">
        <v>413</v>
      </c>
      <c r="D17" s="20">
        <f>0</f>
        <v>0</v>
      </c>
      <c r="E17" s="236">
        <f>0</f>
        <v>0</v>
      </c>
      <c r="F17" s="236">
        <f>62000</f>
        <v>62000</v>
      </c>
      <c r="G17" s="236">
        <v>0</v>
      </c>
      <c r="H17" s="236">
        <v>0</v>
      </c>
      <c r="I17" s="236">
        <f>E17+F17+G17+H17</f>
        <v>62000</v>
      </c>
      <c r="J17" s="236">
        <f>0</f>
        <v>0</v>
      </c>
      <c r="K17" s="20">
        <f>62000*B17</f>
        <v>7750000</v>
      </c>
      <c r="L17" s="20">
        <f>D17*H17+D17*J17</f>
        <v>0</v>
      </c>
      <c r="M17" s="20">
        <f>K17+L17</f>
        <v>7750000</v>
      </c>
      <c r="N17" s="20">
        <f>M17/62000</f>
        <v>125</v>
      </c>
      <c r="O17" s="20">
        <f>M17/48000</f>
        <v>161.45833333333334</v>
      </c>
      <c r="Q17" s="236">
        <f>-G17</f>
        <v>0</v>
      </c>
      <c r="R17" s="236">
        <f>-H17</f>
        <v>0</v>
      </c>
    </row>
    <row r="18" spans="1:18">
      <c r="A18" s="235">
        <v>2</v>
      </c>
      <c r="B18" s="20">
        <f>125</f>
        <v>125</v>
      </c>
      <c r="C18" s="235" t="s">
        <v>413</v>
      </c>
      <c r="D18" s="20">
        <f>200</f>
        <v>200</v>
      </c>
      <c r="E18" s="236">
        <f>I17</f>
        <v>62000</v>
      </c>
      <c r="F18" s="236">
        <f>0</f>
        <v>0</v>
      </c>
      <c r="G18" s="236">
        <f>0</f>
        <v>0</v>
      </c>
      <c r="H18" s="236">
        <f>-5000</f>
        <v>-5000</v>
      </c>
      <c r="I18" s="236">
        <f>E18+F18+G18+H18</f>
        <v>57000</v>
      </c>
      <c r="J18" s="236">
        <f>0</f>
        <v>0</v>
      </c>
      <c r="K18" s="20">
        <f t="shared" ref="K18:K26" si="0">62000*B18</f>
        <v>7750000</v>
      </c>
      <c r="L18" s="20">
        <f>D18*H18+D18*J18</f>
        <v>-1000000</v>
      </c>
      <c r="M18" s="20">
        <f t="shared" ref="M18:M26" si="1">K18+L18</f>
        <v>6750000</v>
      </c>
      <c r="N18" s="20">
        <f t="shared" ref="N18:N26" si="2">M18/62000</f>
        <v>108.87096774193549</v>
      </c>
      <c r="O18" s="20">
        <f t="shared" ref="O18:O26" si="3">M18/48000</f>
        <v>140.625</v>
      </c>
      <c r="Q18" s="236">
        <f t="shared" ref="Q18:Q26" si="4">-G18</f>
        <v>0</v>
      </c>
      <c r="R18" s="236">
        <f t="shared" ref="R18:R26" si="5">-H18</f>
        <v>5000</v>
      </c>
    </row>
    <row r="19" spans="1:18">
      <c r="A19" s="235">
        <v>3</v>
      </c>
      <c r="B19" s="20">
        <f>125</f>
        <v>125</v>
      </c>
      <c r="C19" s="235" t="s">
        <v>414</v>
      </c>
      <c r="D19" s="20">
        <f>575</f>
        <v>575</v>
      </c>
      <c r="E19" s="236">
        <f t="shared" ref="E19:E26" si="6">I18</f>
        <v>57000</v>
      </c>
      <c r="F19" s="236">
        <f>5000</f>
        <v>5000</v>
      </c>
      <c r="G19" s="236">
        <f>-10000</f>
        <v>-10000</v>
      </c>
      <c r="H19" s="236">
        <f>-5000</f>
        <v>-5000</v>
      </c>
      <c r="I19" s="236">
        <f t="shared" ref="I19:I26" si="7">E19+F19+G19+H19</f>
        <v>47000</v>
      </c>
      <c r="J19" s="236">
        <f>0</f>
        <v>0</v>
      </c>
      <c r="K19" s="20">
        <f t="shared" si="0"/>
        <v>7750000</v>
      </c>
      <c r="L19" s="20">
        <f>D19*H19+D19*J19</f>
        <v>-2875000</v>
      </c>
      <c r="M19" s="20">
        <f t="shared" si="1"/>
        <v>4875000</v>
      </c>
      <c r="N19" s="20">
        <f t="shared" si="2"/>
        <v>78.629032258064512</v>
      </c>
      <c r="O19" s="20">
        <f t="shared" si="3"/>
        <v>101.5625</v>
      </c>
      <c r="Q19" s="236">
        <f t="shared" si="4"/>
        <v>10000</v>
      </c>
      <c r="R19" s="236">
        <f t="shared" si="5"/>
        <v>5000</v>
      </c>
    </row>
    <row r="20" spans="1:18">
      <c r="A20" s="235">
        <v>4</v>
      </c>
      <c r="B20" s="20">
        <f>125</f>
        <v>125</v>
      </c>
      <c r="C20" s="235" t="s">
        <v>414</v>
      </c>
      <c r="D20" s="20">
        <f>0</f>
        <v>0</v>
      </c>
      <c r="E20" s="236">
        <f t="shared" si="6"/>
        <v>47000</v>
      </c>
      <c r="F20" s="236">
        <f>5000</f>
        <v>5000</v>
      </c>
      <c r="G20" s="236">
        <f>-15000</f>
        <v>-15000</v>
      </c>
      <c r="H20" s="236">
        <f>0</f>
        <v>0</v>
      </c>
      <c r="I20" s="236">
        <f>E20+F20+G20+H20</f>
        <v>37000</v>
      </c>
      <c r="J20" s="236">
        <f>0</f>
        <v>0</v>
      </c>
      <c r="K20" s="20">
        <f t="shared" si="0"/>
        <v>7750000</v>
      </c>
      <c r="L20" s="20">
        <f t="shared" ref="L20:L26" si="8">D20*H20+D20*J20</f>
        <v>0</v>
      </c>
      <c r="M20" s="20">
        <f t="shared" si="1"/>
        <v>7750000</v>
      </c>
      <c r="N20" s="20">
        <f t="shared" si="2"/>
        <v>125</v>
      </c>
      <c r="O20" s="20">
        <f t="shared" si="3"/>
        <v>161.45833333333334</v>
      </c>
      <c r="Q20" s="236">
        <f t="shared" si="4"/>
        <v>15000</v>
      </c>
      <c r="R20" s="236">
        <f t="shared" si="5"/>
        <v>0</v>
      </c>
    </row>
    <row r="21" spans="1:18">
      <c r="A21" s="235">
        <v>5</v>
      </c>
      <c r="B21" s="20">
        <f>125</f>
        <v>125</v>
      </c>
      <c r="C21" s="235" t="s">
        <v>413</v>
      </c>
      <c r="D21" s="20">
        <f>0</f>
        <v>0</v>
      </c>
      <c r="E21" s="236">
        <f t="shared" si="6"/>
        <v>37000</v>
      </c>
      <c r="F21" s="236">
        <f>20000</f>
        <v>20000</v>
      </c>
      <c r="G21" s="236">
        <f>0</f>
        <v>0</v>
      </c>
      <c r="H21" s="236">
        <f>0</f>
        <v>0</v>
      </c>
      <c r="I21" s="236">
        <f t="shared" si="7"/>
        <v>57000</v>
      </c>
      <c r="J21" s="236">
        <f>0</f>
        <v>0</v>
      </c>
      <c r="K21" s="20">
        <f t="shared" si="0"/>
        <v>7750000</v>
      </c>
      <c r="L21" s="20">
        <f t="shared" si="8"/>
        <v>0</v>
      </c>
      <c r="M21" s="20">
        <f t="shared" si="1"/>
        <v>7750000</v>
      </c>
      <c r="N21" s="20">
        <f t="shared" si="2"/>
        <v>125</v>
      </c>
      <c r="O21" s="20">
        <f t="shared" si="3"/>
        <v>161.45833333333334</v>
      </c>
      <c r="Q21" s="236">
        <f t="shared" si="4"/>
        <v>0</v>
      </c>
      <c r="R21" s="236">
        <f t="shared" si="5"/>
        <v>0</v>
      </c>
    </row>
    <row r="22" spans="1:18">
      <c r="A22" s="235">
        <v>6</v>
      </c>
      <c r="B22" s="20">
        <f>125</f>
        <v>125</v>
      </c>
      <c r="C22" s="235" t="s">
        <v>413</v>
      </c>
      <c r="D22" s="20">
        <f>200</f>
        <v>200</v>
      </c>
      <c r="E22" s="236">
        <f t="shared" si="6"/>
        <v>57000</v>
      </c>
      <c r="F22" s="236">
        <f>5000</f>
        <v>5000</v>
      </c>
      <c r="G22" s="236">
        <f>0</f>
        <v>0</v>
      </c>
      <c r="H22" s="236">
        <f>-5000</f>
        <v>-5000</v>
      </c>
      <c r="I22" s="236">
        <f t="shared" si="7"/>
        <v>57000</v>
      </c>
      <c r="J22" s="236">
        <f>0</f>
        <v>0</v>
      </c>
      <c r="K22" s="20">
        <f t="shared" si="0"/>
        <v>7750000</v>
      </c>
      <c r="L22" s="20">
        <f t="shared" si="8"/>
        <v>-1000000</v>
      </c>
      <c r="M22" s="20">
        <f t="shared" si="1"/>
        <v>6750000</v>
      </c>
      <c r="N22" s="20">
        <f t="shared" si="2"/>
        <v>108.87096774193549</v>
      </c>
      <c r="O22" s="20">
        <f t="shared" si="3"/>
        <v>140.625</v>
      </c>
      <c r="Q22" s="236">
        <f t="shared" si="4"/>
        <v>0</v>
      </c>
      <c r="R22" s="236">
        <f t="shared" si="5"/>
        <v>5000</v>
      </c>
    </row>
    <row r="23" spans="1:18">
      <c r="A23" s="235">
        <v>7</v>
      </c>
      <c r="B23" s="20">
        <f>125</f>
        <v>125</v>
      </c>
      <c r="C23" s="235" t="s">
        <v>413</v>
      </c>
      <c r="D23" s="20">
        <v>200</v>
      </c>
      <c r="E23" s="236">
        <f t="shared" si="6"/>
        <v>57000</v>
      </c>
      <c r="F23" s="236">
        <f>10000</f>
        <v>10000</v>
      </c>
      <c r="G23" s="236">
        <f>0</f>
        <v>0</v>
      </c>
      <c r="H23" s="236">
        <f>-5000</f>
        <v>-5000</v>
      </c>
      <c r="I23" s="236">
        <f t="shared" si="7"/>
        <v>62000</v>
      </c>
      <c r="J23" s="236">
        <f>0</f>
        <v>0</v>
      </c>
      <c r="K23" s="20">
        <f t="shared" si="0"/>
        <v>7750000</v>
      </c>
      <c r="L23" s="20">
        <f>D23*H23+D23*J23</f>
        <v>-1000000</v>
      </c>
      <c r="M23" s="20">
        <f t="shared" si="1"/>
        <v>6750000</v>
      </c>
      <c r="N23" s="20">
        <f t="shared" si="2"/>
        <v>108.87096774193549</v>
      </c>
      <c r="O23" s="20">
        <f t="shared" si="3"/>
        <v>140.625</v>
      </c>
      <c r="Q23" s="236">
        <f t="shared" si="4"/>
        <v>0</v>
      </c>
      <c r="R23" s="236">
        <f t="shared" si="5"/>
        <v>5000</v>
      </c>
    </row>
    <row r="24" spans="1:18">
      <c r="A24" s="235">
        <v>8</v>
      </c>
      <c r="B24" s="20">
        <f>125</f>
        <v>125</v>
      </c>
      <c r="C24" s="235" t="s">
        <v>414</v>
      </c>
      <c r="D24" s="20">
        <f>575</f>
        <v>575</v>
      </c>
      <c r="E24" s="236">
        <f t="shared" si="6"/>
        <v>62000</v>
      </c>
      <c r="F24" s="236">
        <f>0</f>
        <v>0</v>
      </c>
      <c r="G24" s="236">
        <f>-10000</f>
        <v>-10000</v>
      </c>
      <c r="H24" s="236">
        <f>-5000</f>
        <v>-5000</v>
      </c>
      <c r="I24" s="236">
        <f t="shared" si="7"/>
        <v>47000</v>
      </c>
      <c r="J24" s="236">
        <f>0</f>
        <v>0</v>
      </c>
      <c r="K24" s="20">
        <f t="shared" si="0"/>
        <v>7750000</v>
      </c>
      <c r="L24" s="20">
        <f>D24*H24+D24*J24</f>
        <v>-2875000</v>
      </c>
      <c r="M24" s="20">
        <f t="shared" si="1"/>
        <v>4875000</v>
      </c>
      <c r="N24" s="20">
        <f t="shared" si="2"/>
        <v>78.629032258064512</v>
      </c>
      <c r="O24" s="20">
        <f t="shared" si="3"/>
        <v>101.5625</v>
      </c>
      <c r="Q24" s="236">
        <f t="shared" si="4"/>
        <v>10000</v>
      </c>
      <c r="R24" s="236">
        <f t="shared" si="5"/>
        <v>5000</v>
      </c>
    </row>
    <row r="25" spans="1:18">
      <c r="A25" s="235">
        <v>9</v>
      </c>
      <c r="B25" s="20">
        <f>125</f>
        <v>125</v>
      </c>
      <c r="C25" s="235" t="s">
        <v>414</v>
      </c>
      <c r="D25" s="20">
        <f>0</f>
        <v>0</v>
      </c>
      <c r="E25" s="236">
        <f t="shared" si="6"/>
        <v>47000</v>
      </c>
      <c r="F25" s="236">
        <f>5000</f>
        <v>5000</v>
      </c>
      <c r="G25" s="236">
        <f>-15000</f>
        <v>-15000</v>
      </c>
      <c r="H25" s="236">
        <f>0</f>
        <v>0</v>
      </c>
      <c r="I25" s="236">
        <f t="shared" si="7"/>
        <v>37000</v>
      </c>
      <c r="J25" s="236">
        <v>0</v>
      </c>
      <c r="K25" s="20">
        <f t="shared" si="0"/>
        <v>7750000</v>
      </c>
      <c r="L25" s="20">
        <f t="shared" si="8"/>
        <v>0</v>
      </c>
      <c r="M25" s="20">
        <f t="shared" si="1"/>
        <v>7750000</v>
      </c>
      <c r="N25" s="20">
        <f t="shared" si="2"/>
        <v>125</v>
      </c>
      <c r="O25" s="20">
        <f t="shared" si="3"/>
        <v>161.45833333333334</v>
      </c>
      <c r="Q25" s="236">
        <f t="shared" si="4"/>
        <v>15000</v>
      </c>
      <c r="R25" s="236">
        <f t="shared" si="5"/>
        <v>0</v>
      </c>
    </row>
    <row r="26" spans="1:18">
      <c r="A26" s="235">
        <v>10</v>
      </c>
      <c r="B26" s="20">
        <f>125</f>
        <v>125</v>
      </c>
      <c r="C26" s="235" t="s">
        <v>413</v>
      </c>
      <c r="D26" s="20">
        <f>75</f>
        <v>75</v>
      </c>
      <c r="E26" s="236">
        <f t="shared" si="6"/>
        <v>37000</v>
      </c>
      <c r="F26" s="236">
        <f>20000</f>
        <v>20000</v>
      </c>
      <c r="G26" s="236">
        <f>0</f>
        <v>0</v>
      </c>
      <c r="H26" s="236">
        <f>0</f>
        <v>0</v>
      </c>
      <c r="I26" s="236">
        <f t="shared" si="7"/>
        <v>57000</v>
      </c>
      <c r="J26" s="236">
        <f>-5000</f>
        <v>-5000</v>
      </c>
      <c r="K26" s="20">
        <f t="shared" si="0"/>
        <v>7750000</v>
      </c>
      <c r="L26" s="20">
        <f t="shared" si="8"/>
        <v>-375000</v>
      </c>
      <c r="M26" s="20">
        <f t="shared" si="1"/>
        <v>7375000</v>
      </c>
      <c r="N26" s="20">
        <f t="shared" si="2"/>
        <v>118.95161290322581</v>
      </c>
      <c r="O26" s="20">
        <f t="shared" si="3"/>
        <v>153.64583333333334</v>
      </c>
      <c r="Q26" s="236">
        <f t="shared" si="4"/>
        <v>0</v>
      </c>
      <c r="R26" s="236">
        <f t="shared" si="5"/>
        <v>0</v>
      </c>
    </row>
    <row r="29" spans="1:18">
      <c r="O29" s="235" t="s">
        <v>425</v>
      </c>
    </row>
    <row r="30" spans="1:18">
      <c r="O30" s="20">
        <f>AVERAGE(O17:O26)</f>
        <v>142.44791666666666</v>
      </c>
    </row>
    <row r="32" spans="1:18">
      <c r="N32" s="20">
        <f>SUM(N17:N31)/10</f>
        <v>110.28225806451613</v>
      </c>
      <c r="Q32" s="20">
        <f>N32*6.234</f>
        <v>687.49959677419349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40"/>
  <sheetViews>
    <sheetView workbookViewId="0">
      <selection activeCell="A26" sqref="A26:I27"/>
    </sheetView>
  </sheetViews>
  <sheetFormatPr defaultRowHeight="15"/>
  <cols>
    <col min="1" max="1" width="11" style="164" bestFit="1" customWidth="1"/>
    <col min="2" max="2" width="11.140625" style="164" customWidth="1"/>
    <col min="3" max="4" width="9.42578125" style="164" bestFit="1" customWidth="1"/>
    <col min="5" max="5" width="10" style="164" bestFit="1" customWidth="1"/>
    <col min="6" max="6" width="11" style="164" bestFit="1" customWidth="1"/>
    <col min="7" max="7" width="10.28515625" style="43" bestFit="1" customWidth="1"/>
    <col min="8" max="8" width="9.140625" style="164"/>
    <col min="9" max="9" width="13.42578125" style="43" bestFit="1" customWidth="1"/>
    <col min="10" max="10" width="11.7109375" style="164" customWidth="1"/>
    <col min="11" max="11" width="13.42578125" style="164" bestFit="1" customWidth="1"/>
    <col min="12" max="23" width="9.140625" style="164"/>
  </cols>
  <sheetData>
    <row r="5" spans="1:11">
      <c r="A5" s="237" t="s">
        <v>339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</row>
    <row r="6" spans="1:1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</row>
    <row r="7" spans="1:11" ht="30">
      <c r="A7" s="164" t="s">
        <v>327</v>
      </c>
      <c r="B7" s="164" t="s">
        <v>328</v>
      </c>
      <c r="C7" s="164" t="s">
        <v>329</v>
      </c>
      <c r="D7" s="164" t="s">
        <v>330</v>
      </c>
      <c r="E7" s="164" t="s">
        <v>331</v>
      </c>
      <c r="F7" s="164" t="s">
        <v>332</v>
      </c>
      <c r="G7" s="43" t="s">
        <v>334</v>
      </c>
      <c r="H7" s="164" t="s">
        <v>333</v>
      </c>
      <c r="I7" s="43" t="s">
        <v>326</v>
      </c>
      <c r="J7" s="164" t="s">
        <v>337</v>
      </c>
      <c r="K7" s="164" t="s">
        <v>338</v>
      </c>
    </row>
    <row r="8" spans="1:11">
      <c r="A8" s="164" t="s">
        <v>336</v>
      </c>
      <c r="B8" s="237" t="s">
        <v>335</v>
      </c>
      <c r="C8" s="237"/>
      <c r="D8" s="237"/>
      <c r="E8" s="237"/>
      <c r="F8" s="237"/>
      <c r="G8" s="237"/>
      <c r="H8" s="237"/>
    </row>
    <row r="9" spans="1:11">
      <c r="A9" s="24">
        <v>1300</v>
      </c>
      <c r="B9" s="24">
        <v>10</v>
      </c>
      <c r="C9" s="24">
        <v>25</v>
      </c>
      <c r="D9" s="24">
        <v>10</v>
      </c>
      <c r="E9" s="24">
        <v>190</v>
      </c>
      <c r="F9" s="24">
        <v>945</v>
      </c>
      <c r="G9" s="24">
        <v>235</v>
      </c>
      <c r="H9" s="24">
        <v>30</v>
      </c>
      <c r="I9" s="43">
        <v>118.9</v>
      </c>
      <c r="J9" s="166">
        <f>SUM(B9:H9)</f>
        <v>1445</v>
      </c>
      <c r="K9" s="169">
        <f>J9/48000</f>
        <v>3.0104166666666668E-2</v>
      </c>
    </row>
    <row r="10" spans="1:11">
      <c r="A10" s="24">
        <v>2800</v>
      </c>
      <c r="B10" s="24">
        <v>25</v>
      </c>
      <c r="C10" s="24">
        <v>55</v>
      </c>
      <c r="D10" s="24">
        <v>25</v>
      </c>
      <c r="E10" s="24">
        <v>325</v>
      </c>
      <c r="F10" s="24">
        <v>2050</v>
      </c>
      <c r="G10" s="24">
        <v>405</v>
      </c>
      <c r="H10" s="24">
        <v>70</v>
      </c>
      <c r="I10" s="43">
        <v>120.65</v>
      </c>
      <c r="J10" s="166">
        <f t="shared" ref="J10:J14" si="0">SUM(B10:H10)</f>
        <v>2955</v>
      </c>
      <c r="K10" s="169">
        <f t="shared" ref="K10:K14" si="1">J10/48000</f>
        <v>6.1562499999999999E-2</v>
      </c>
    </row>
    <row r="11" spans="1:11">
      <c r="A11" s="24">
        <v>4200</v>
      </c>
      <c r="B11" s="24">
        <v>40</v>
      </c>
      <c r="C11" s="24">
        <v>85</v>
      </c>
      <c r="D11" s="24">
        <v>40</v>
      </c>
      <c r="E11" s="24">
        <v>430</v>
      </c>
      <c r="F11" s="24">
        <v>3225</v>
      </c>
      <c r="G11" s="24">
        <v>530</v>
      </c>
      <c r="H11" s="24">
        <v>110</v>
      </c>
      <c r="I11" s="43">
        <v>122.79</v>
      </c>
      <c r="J11" s="166">
        <f t="shared" si="0"/>
        <v>4460</v>
      </c>
      <c r="K11" s="169">
        <f t="shared" si="1"/>
        <v>9.2916666666666661E-2</v>
      </c>
    </row>
    <row r="12" spans="1:11">
      <c r="A12" s="24">
        <v>5300</v>
      </c>
      <c r="B12" s="24">
        <v>55</v>
      </c>
      <c r="C12" s="24">
        <v>100</v>
      </c>
      <c r="D12" s="24">
        <v>45</v>
      </c>
      <c r="E12" s="24">
        <v>485</v>
      </c>
      <c r="F12" s="24">
        <v>4030</v>
      </c>
      <c r="G12" s="24">
        <v>605</v>
      </c>
      <c r="H12" s="24">
        <v>135</v>
      </c>
      <c r="I12" s="43">
        <v>124.47</v>
      </c>
      <c r="J12" s="166">
        <f t="shared" si="0"/>
        <v>5455</v>
      </c>
      <c r="K12" s="169">
        <f t="shared" si="1"/>
        <v>0.11364583333333333</v>
      </c>
    </row>
    <row r="13" spans="1:11">
      <c r="A13" s="24">
        <v>7300</v>
      </c>
      <c r="B13" s="24">
        <v>85</v>
      </c>
      <c r="C13" s="24">
        <v>135</v>
      </c>
      <c r="D13" s="24">
        <v>65</v>
      </c>
      <c r="E13" s="24">
        <v>580</v>
      </c>
      <c r="F13" s="24">
        <v>5670</v>
      </c>
      <c r="G13" s="24">
        <v>730</v>
      </c>
      <c r="H13" s="24">
        <v>190</v>
      </c>
      <c r="I13" s="43">
        <v>128.46</v>
      </c>
      <c r="J13" s="166">
        <f t="shared" si="0"/>
        <v>7455</v>
      </c>
      <c r="K13" s="169">
        <f t="shared" si="1"/>
        <v>0.15531249999999999</v>
      </c>
    </row>
    <row r="14" spans="1:11">
      <c r="A14" s="24">
        <v>9900</v>
      </c>
      <c r="B14" s="24">
        <v>135</v>
      </c>
      <c r="C14" s="24">
        <v>180</v>
      </c>
      <c r="D14" s="24">
        <v>85</v>
      </c>
      <c r="E14" s="24">
        <v>680</v>
      </c>
      <c r="F14" s="24">
        <v>7760</v>
      </c>
      <c r="G14" s="24">
        <v>865</v>
      </c>
      <c r="H14" s="24">
        <v>265</v>
      </c>
      <c r="I14" s="43">
        <v>134.91</v>
      </c>
      <c r="J14" s="166">
        <f t="shared" si="0"/>
        <v>9970</v>
      </c>
      <c r="K14" s="169">
        <f t="shared" si="1"/>
        <v>0.20770833333333333</v>
      </c>
    </row>
    <row r="15" spans="1:11">
      <c r="A15" s="24"/>
      <c r="B15" s="24"/>
      <c r="C15" s="24"/>
      <c r="D15" s="24"/>
      <c r="E15" s="24"/>
      <c r="F15" s="24"/>
      <c r="G15" s="24"/>
      <c r="H15" s="24"/>
    </row>
    <row r="16" spans="1:11">
      <c r="G16" s="37"/>
    </row>
    <row r="17" spans="1:9">
      <c r="G17" s="37"/>
    </row>
    <row r="18" spans="1:9">
      <c r="G18" s="37"/>
    </row>
    <row r="19" spans="1:9">
      <c r="G19" s="37"/>
    </row>
    <row r="20" spans="1:9">
      <c r="G20" s="37"/>
    </row>
    <row r="21" spans="1:9">
      <c r="G21" s="37"/>
    </row>
    <row r="22" spans="1:9">
      <c r="G22" s="37"/>
    </row>
    <row r="23" spans="1:9">
      <c r="G23" s="37"/>
    </row>
    <row r="24" spans="1:9">
      <c r="G24" s="37"/>
    </row>
    <row r="25" spans="1:9">
      <c r="G25" s="37"/>
    </row>
    <row r="26" spans="1:9">
      <c r="A26" s="237" t="s">
        <v>340</v>
      </c>
      <c r="B26" s="237"/>
      <c r="C26" s="237"/>
      <c r="D26" s="237"/>
      <c r="E26" s="237"/>
      <c r="F26" s="237"/>
      <c r="G26" s="237"/>
      <c r="H26" s="237"/>
      <c r="I26" s="237"/>
    </row>
    <row r="27" spans="1:9">
      <c r="A27" s="237"/>
      <c r="B27" s="237"/>
      <c r="C27" s="237"/>
      <c r="D27" s="237"/>
      <c r="E27" s="237"/>
      <c r="F27" s="237"/>
      <c r="G27" s="237"/>
      <c r="H27" s="237"/>
      <c r="I27" s="237"/>
    </row>
    <row r="28" spans="1:9" ht="30">
      <c r="A28" s="164" t="s">
        <v>327</v>
      </c>
      <c r="B28" s="164" t="s">
        <v>328</v>
      </c>
      <c r="C28" s="164" t="s">
        <v>329</v>
      </c>
      <c r="D28" s="164" t="s">
        <v>330</v>
      </c>
      <c r="E28" s="164" t="s">
        <v>331</v>
      </c>
      <c r="F28" s="164" t="s">
        <v>332</v>
      </c>
      <c r="G28" s="43" t="s">
        <v>326</v>
      </c>
      <c r="H28" s="164" t="s">
        <v>337</v>
      </c>
      <c r="I28" s="164" t="s">
        <v>338</v>
      </c>
    </row>
    <row r="29" spans="1:9" ht="15" customHeight="1">
      <c r="A29" s="164" t="s">
        <v>336</v>
      </c>
      <c r="B29" s="237" t="s">
        <v>335</v>
      </c>
      <c r="C29" s="237"/>
      <c r="D29" s="237"/>
      <c r="E29" s="237"/>
      <c r="F29" s="237"/>
      <c r="G29" s="165"/>
      <c r="H29" s="165"/>
    </row>
    <row r="30" spans="1:9">
      <c r="A30" s="24">
        <v>1500</v>
      </c>
      <c r="B30" s="24">
        <v>15</v>
      </c>
      <c r="C30" s="24">
        <v>35</v>
      </c>
      <c r="D30" s="24">
        <v>15</v>
      </c>
      <c r="E30" s="24">
        <v>225</v>
      </c>
      <c r="F30" s="24">
        <v>1170</v>
      </c>
      <c r="G30" s="43">
        <v>85.66</v>
      </c>
      <c r="H30" s="166">
        <f>SUM(B30:F30)</f>
        <v>1460</v>
      </c>
      <c r="I30" s="169">
        <f>H30/48000</f>
        <v>3.0416666666666668E-2</v>
      </c>
    </row>
    <row r="31" spans="1:9">
      <c r="A31" s="24">
        <v>3100</v>
      </c>
      <c r="B31" s="24">
        <v>30</v>
      </c>
      <c r="C31" s="24">
        <v>65</v>
      </c>
      <c r="D31" s="24">
        <v>30</v>
      </c>
      <c r="E31" s="24">
        <v>365</v>
      </c>
      <c r="F31" s="24">
        <v>2465</v>
      </c>
      <c r="G31" s="43">
        <v>109.06</v>
      </c>
      <c r="H31" s="166">
        <f t="shared" ref="H31:H40" si="2">SUM(B31:F31)</f>
        <v>2955</v>
      </c>
      <c r="I31" s="169">
        <f t="shared" ref="I31:I40" si="3">H31/48000</f>
        <v>6.1562499999999999E-2</v>
      </c>
    </row>
    <row r="32" spans="1:9">
      <c r="A32" s="24">
        <v>4700</v>
      </c>
      <c r="B32" s="24">
        <v>50</v>
      </c>
      <c r="C32" s="24">
        <v>95</v>
      </c>
      <c r="D32" s="24">
        <v>45</v>
      </c>
      <c r="E32" s="24">
        <v>470</v>
      </c>
      <c r="F32" s="24">
        <v>3795</v>
      </c>
      <c r="G32" s="43">
        <v>123.96</v>
      </c>
      <c r="H32" s="166">
        <f t="shared" si="2"/>
        <v>4455</v>
      </c>
      <c r="I32" s="169">
        <f t="shared" si="3"/>
        <v>9.2812500000000006E-2</v>
      </c>
    </row>
    <row r="33" spans="1:9">
      <c r="A33" s="24">
        <v>5800</v>
      </c>
      <c r="B33" s="24">
        <v>65</v>
      </c>
      <c r="C33" s="24">
        <v>115</v>
      </c>
      <c r="D33" s="24">
        <v>55</v>
      </c>
      <c r="E33" s="24">
        <v>525</v>
      </c>
      <c r="F33" s="24">
        <v>4695</v>
      </c>
      <c r="G33" s="43">
        <v>125.98</v>
      </c>
      <c r="H33" s="166">
        <f t="shared" si="2"/>
        <v>5455</v>
      </c>
      <c r="I33" s="169">
        <f t="shared" si="3"/>
        <v>0.11364583333333333</v>
      </c>
    </row>
    <row r="34" spans="1:9">
      <c r="A34" s="24">
        <v>7900</v>
      </c>
      <c r="B34" s="24">
        <v>105</v>
      </c>
      <c r="C34" s="24">
        <v>155</v>
      </c>
      <c r="D34" s="24">
        <v>70</v>
      </c>
      <c r="E34" s="24">
        <v>620</v>
      </c>
      <c r="F34" s="24">
        <v>6510</v>
      </c>
      <c r="G34" s="43">
        <v>130.84</v>
      </c>
      <c r="H34" s="166">
        <f t="shared" si="2"/>
        <v>7460</v>
      </c>
      <c r="I34" s="169">
        <f t="shared" si="3"/>
        <v>0.15541666666666668</v>
      </c>
    </row>
    <row r="35" spans="1:9">
      <c r="A35" s="24">
        <v>10700</v>
      </c>
      <c r="B35" s="24">
        <v>165</v>
      </c>
      <c r="C35" s="24">
        <v>200</v>
      </c>
      <c r="D35" s="24">
        <v>95</v>
      </c>
      <c r="E35" s="24">
        <v>725</v>
      </c>
      <c r="F35" s="24">
        <v>8785</v>
      </c>
      <c r="G35" s="43">
        <v>138.78</v>
      </c>
      <c r="H35" s="166">
        <f t="shared" si="2"/>
        <v>9970</v>
      </c>
      <c r="I35" s="169">
        <f t="shared" si="3"/>
        <v>0.20770833333333333</v>
      </c>
    </row>
    <row r="36" spans="1:9">
      <c r="A36" s="24">
        <v>14500</v>
      </c>
      <c r="B36" s="24">
        <v>270</v>
      </c>
      <c r="C36" s="24">
        <v>255</v>
      </c>
      <c r="D36" s="24">
        <v>120</v>
      </c>
      <c r="E36" s="24">
        <v>845</v>
      </c>
      <c r="F36" s="24">
        <v>11970</v>
      </c>
      <c r="G36" s="43">
        <v>154.74</v>
      </c>
      <c r="H36" s="166">
        <f t="shared" si="2"/>
        <v>13460</v>
      </c>
      <c r="I36" s="169">
        <f t="shared" si="3"/>
        <v>0.28041666666666665</v>
      </c>
    </row>
    <row r="37" spans="1:9">
      <c r="A37" s="24">
        <v>18800</v>
      </c>
      <c r="B37" s="24">
        <v>445</v>
      </c>
      <c r="C37" s="24">
        <v>325</v>
      </c>
      <c r="D37" s="24">
        <v>150</v>
      </c>
      <c r="E37" s="24">
        <v>975</v>
      </c>
      <c r="F37" s="24">
        <v>15570</v>
      </c>
      <c r="G37" s="43">
        <v>183.86</v>
      </c>
      <c r="H37" s="166">
        <f t="shared" si="2"/>
        <v>17465</v>
      </c>
      <c r="I37" s="169">
        <f t="shared" si="3"/>
        <v>0.36385416666666665</v>
      </c>
    </row>
    <row r="38" spans="1:9">
      <c r="A38" s="167">
        <f>AVERAGE(A37,A39)</f>
        <v>20150</v>
      </c>
      <c r="B38" s="167">
        <f t="shared" ref="B38:H38" si="4">AVERAGE(B37,B39)</f>
        <v>517.5</v>
      </c>
      <c r="C38" s="167">
        <f t="shared" si="4"/>
        <v>345</v>
      </c>
      <c r="D38" s="167">
        <f t="shared" si="4"/>
        <v>160</v>
      </c>
      <c r="E38" s="167">
        <f t="shared" si="4"/>
        <v>1017.5</v>
      </c>
      <c r="F38" s="167">
        <f t="shared" si="4"/>
        <v>16680</v>
      </c>
      <c r="G38" s="168">
        <f t="shared" si="4"/>
        <v>197.815</v>
      </c>
      <c r="H38" s="167">
        <f t="shared" si="4"/>
        <v>18720</v>
      </c>
      <c r="I38" s="169">
        <f t="shared" si="3"/>
        <v>0.39</v>
      </c>
    </row>
    <row r="39" spans="1:9">
      <c r="A39" s="24">
        <v>21500</v>
      </c>
      <c r="B39" s="24">
        <v>590</v>
      </c>
      <c r="C39" s="24">
        <v>365</v>
      </c>
      <c r="D39" s="24">
        <v>170</v>
      </c>
      <c r="E39" s="24">
        <v>1060</v>
      </c>
      <c r="F39" s="24">
        <v>17790</v>
      </c>
      <c r="G39" s="43">
        <v>211.77</v>
      </c>
      <c r="H39" s="166">
        <f t="shared" si="2"/>
        <v>19975</v>
      </c>
      <c r="I39" s="169">
        <f t="shared" si="3"/>
        <v>0.41614583333333333</v>
      </c>
    </row>
    <row r="40" spans="1:9">
      <c r="A40" s="24">
        <v>26800</v>
      </c>
      <c r="B40" s="24">
        <v>975</v>
      </c>
      <c r="C40" s="24">
        <v>445</v>
      </c>
      <c r="D40" s="24">
        <v>215</v>
      </c>
      <c r="E40" s="24">
        <v>1230</v>
      </c>
      <c r="F40" s="24">
        <v>22115</v>
      </c>
      <c r="G40" s="43">
        <v>314.49</v>
      </c>
      <c r="H40" s="166">
        <f t="shared" si="2"/>
        <v>24980</v>
      </c>
      <c r="I40" s="169">
        <f t="shared" si="3"/>
        <v>0.52041666666666664</v>
      </c>
    </row>
  </sheetData>
  <mergeCells count="4">
    <mergeCell ref="B8:H8"/>
    <mergeCell ref="B29:F29"/>
    <mergeCell ref="A5:K6"/>
    <mergeCell ref="A26:I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3"/>
  <sheetViews>
    <sheetView workbookViewId="0">
      <pane xSplit="3" ySplit="3" topLeftCell="G4" activePane="bottomRight" state="frozenSplit"/>
      <selection pane="topRight" activeCell="D1" sqref="D1"/>
      <selection pane="bottomLeft" activeCell="A4" sqref="A4"/>
      <selection pane="bottomRight" activeCell="G7" sqref="G7"/>
    </sheetView>
  </sheetViews>
  <sheetFormatPr defaultRowHeight="15"/>
  <cols>
    <col min="1" max="1" width="14.7109375" style="56" bestFit="1" customWidth="1"/>
    <col min="2" max="2" width="34.5703125" style="15" customWidth="1"/>
    <col min="3" max="3" width="20.7109375" style="56" customWidth="1"/>
    <col min="4" max="6" width="13.140625" style="15" bestFit="1" customWidth="1"/>
    <col min="7" max="8" width="15.85546875" style="15" bestFit="1" customWidth="1"/>
    <col min="9" max="11" width="13.7109375" style="15" bestFit="1" customWidth="1"/>
    <col min="12" max="12" width="14.7109375" style="15" bestFit="1" customWidth="1"/>
    <col min="13" max="14" width="13.140625" style="15" bestFit="1" customWidth="1"/>
    <col min="15" max="15" width="14.7109375" style="15" bestFit="1" customWidth="1"/>
    <col min="16" max="32" width="9.140625" style="15"/>
  </cols>
  <sheetData>
    <row r="2" spans="1:32">
      <c r="D2" s="37">
        <v>2019</v>
      </c>
      <c r="E2" s="37">
        <v>2020</v>
      </c>
      <c r="F2" s="37">
        <v>2021</v>
      </c>
      <c r="G2" s="37">
        <v>2022</v>
      </c>
      <c r="H2" s="37">
        <v>2023</v>
      </c>
      <c r="I2" s="37">
        <v>2024</v>
      </c>
      <c r="J2" s="37">
        <v>2025</v>
      </c>
      <c r="K2" s="37">
        <v>2026</v>
      </c>
      <c r="L2" s="37">
        <v>2027</v>
      </c>
      <c r="M2" s="37">
        <v>2028</v>
      </c>
      <c r="N2" s="37">
        <v>2029</v>
      </c>
      <c r="O2" s="37">
        <v>2030</v>
      </c>
      <c r="P2" s="37">
        <v>2031</v>
      </c>
      <c r="Q2" s="37">
        <v>2032</v>
      </c>
    </row>
    <row r="3" spans="1:32" s="78" customFormat="1" ht="30">
      <c r="A3" s="37" t="s">
        <v>162</v>
      </c>
      <c r="B3" s="37" t="s">
        <v>159</v>
      </c>
      <c r="C3" s="93" t="s">
        <v>98</v>
      </c>
      <c r="D3" s="246" t="s">
        <v>154</v>
      </c>
      <c r="E3" s="247"/>
      <c r="F3" s="86" t="s">
        <v>155</v>
      </c>
      <c r="G3" s="86" t="s">
        <v>156</v>
      </c>
      <c r="H3" s="248" t="s">
        <v>164</v>
      </c>
      <c r="I3" s="249"/>
      <c r="J3" s="249"/>
      <c r="K3" s="249"/>
      <c r="L3" s="249"/>
      <c r="M3" s="249"/>
      <c r="N3" s="250"/>
      <c r="O3" s="243" t="s">
        <v>157</v>
      </c>
      <c r="P3" s="244"/>
      <c r="Q3" s="245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</row>
    <row r="4" spans="1:32" ht="30">
      <c r="A4" s="2">
        <f>185000000+300000000+600000000</f>
        <v>1085000000</v>
      </c>
      <c r="B4" s="15" t="s">
        <v>163</v>
      </c>
      <c r="C4" s="94">
        <f>SUM(D4:Q4)</f>
        <v>1085000000</v>
      </c>
      <c r="D4" s="76">
        <f>A4*0.075</f>
        <v>81375000</v>
      </c>
      <c r="E4" s="92">
        <f>A4*0.085</f>
        <v>92225000</v>
      </c>
      <c r="F4" s="82">
        <f>A4*0.28</f>
        <v>303800000</v>
      </c>
      <c r="G4" s="82">
        <f>A4*0.56</f>
        <v>607600000</v>
      </c>
      <c r="H4" s="83">
        <v>0</v>
      </c>
      <c r="I4" s="76">
        <v>0</v>
      </c>
      <c r="J4" s="76">
        <v>0</v>
      </c>
      <c r="K4" s="76">
        <v>0</v>
      </c>
      <c r="L4" s="76">
        <v>0</v>
      </c>
      <c r="M4" s="76">
        <v>0</v>
      </c>
      <c r="N4" s="92">
        <v>0</v>
      </c>
      <c r="O4" s="81">
        <v>0</v>
      </c>
      <c r="P4" s="79">
        <v>0</v>
      </c>
      <c r="Q4" s="80">
        <v>0</v>
      </c>
    </row>
    <row r="5" spans="1:32" ht="30">
      <c r="A5" s="2">
        <f>229605529+172204147</f>
        <v>401809676</v>
      </c>
      <c r="B5" s="15" t="s">
        <v>168</v>
      </c>
      <c r="C5" s="94">
        <f t="shared" ref="C5:C30" si="0">SUM(D5:Q5)</f>
        <v>401809676.00000006</v>
      </c>
      <c r="D5" s="76">
        <v>0</v>
      </c>
      <c r="E5" s="92">
        <v>0</v>
      </c>
      <c r="F5" s="82">
        <v>0</v>
      </c>
      <c r="G5" s="82">
        <v>0</v>
      </c>
      <c r="H5" s="83">
        <f>A5*0.16</f>
        <v>64289548.160000004</v>
      </c>
      <c r="I5" s="76">
        <f>$A$5*0.16</f>
        <v>64289548.160000004</v>
      </c>
      <c r="J5" s="76">
        <f>$A$5*0.16</f>
        <v>64289548.160000004</v>
      </c>
      <c r="K5" s="76">
        <f>$A$5*0.16</f>
        <v>64289548.160000004</v>
      </c>
      <c r="L5" s="76">
        <f>$A$5*0.16</f>
        <v>64289548.160000004</v>
      </c>
      <c r="M5" s="76">
        <f>$A$5*0.16</f>
        <v>64289548.160000004</v>
      </c>
      <c r="N5" s="92">
        <f>A5*0.04</f>
        <v>16072387.040000001</v>
      </c>
      <c r="O5" s="81">
        <v>0</v>
      </c>
      <c r="P5" s="79">
        <v>0</v>
      </c>
      <c r="Q5" s="80">
        <v>0</v>
      </c>
    </row>
    <row r="6" spans="1:32">
      <c r="A6" s="2">
        <f>146000000</f>
        <v>146000000</v>
      </c>
      <c r="B6" s="15" t="s">
        <v>167</v>
      </c>
      <c r="C6" s="94">
        <f t="shared" si="0"/>
        <v>146000000</v>
      </c>
      <c r="D6" s="76">
        <v>0</v>
      </c>
      <c r="E6" s="92">
        <v>0</v>
      </c>
      <c r="F6" s="82">
        <v>0</v>
      </c>
      <c r="G6" s="82">
        <v>0</v>
      </c>
      <c r="H6" s="83">
        <f>A6*0.05</f>
        <v>7300000</v>
      </c>
      <c r="I6" s="76">
        <f>A6*0.1</f>
        <v>14600000</v>
      </c>
      <c r="J6" s="76">
        <f>A6*0.15</f>
        <v>21900000</v>
      </c>
      <c r="K6" s="76">
        <f>A6*0.2</f>
        <v>29200000</v>
      </c>
      <c r="L6" s="76">
        <f>A6*0.2</f>
        <v>29200000</v>
      </c>
      <c r="M6" s="76">
        <f>A6*0.15</f>
        <v>21900000</v>
      </c>
      <c r="N6" s="92">
        <f>A6*0.15</f>
        <v>21900000</v>
      </c>
      <c r="O6" s="81">
        <v>0</v>
      </c>
      <c r="P6" s="79">
        <v>0</v>
      </c>
      <c r="Q6" s="80">
        <v>0</v>
      </c>
    </row>
    <row r="7" spans="1:32">
      <c r="A7" s="2">
        <v>3719000000</v>
      </c>
      <c r="B7" s="15" t="s">
        <v>72</v>
      </c>
      <c r="C7" s="94">
        <f t="shared" si="0"/>
        <v>3719000000</v>
      </c>
      <c r="D7" s="76">
        <v>0</v>
      </c>
      <c r="E7" s="92">
        <v>0</v>
      </c>
      <c r="F7" s="82">
        <v>0</v>
      </c>
      <c r="G7" s="82">
        <v>0</v>
      </c>
      <c r="H7" s="83">
        <f>A7*0.18</f>
        <v>669420000</v>
      </c>
      <c r="I7" s="76">
        <f>A7*0.2</f>
        <v>743800000</v>
      </c>
      <c r="J7" s="76">
        <f>A7*0.2</f>
        <v>743800000</v>
      </c>
      <c r="K7" s="76">
        <f>A7*0.15</f>
        <v>557850000</v>
      </c>
      <c r="L7" s="76">
        <f>A7*0.15</f>
        <v>557850000</v>
      </c>
      <c r="M7" s="76">
        <f>A7*0.1</f>
        <v>371900000</v>
      </c>
      <c r="N7" s="92">
        <f>A7*0.02</f>
        <v>74380000</v>
      </c>
      <c r="O7" s="81">
        <v>0</v>
      </c>
      <c r="P7" s="79">
        <v>0</v>
      </c>
      <c r="Q7" s="80">
        <v>0</v>
      </c>
    </row>
    <row r="8" spans="1:32">
      <c r="A8" s="2">
        <v>50000000</v>
      </c>
      <c r="B8" s="15" t="s">
        <v>103</v>
      </c>
      <c r="C8" s="94">
        <f t="shared" si="0"/>
        <v>50000000</v>
      </c>
      <c r="D8" s="76">
        <f>A8*0.025</f>
        <v>1250000</v>
      </c>
      <c r="E8" s="92">
        <f>A8*0.025</f>
        <v>1250000</v>
      </c>
      <c r="F8" s="82">
        <f>A8*0.05</f>
        <v>2500000</v>
      </c>
      <c r="G8" s="82">
        <f>A8*0.25</f>
        <v>12500000</v>
      </c>
      <c r="H8" s="83">
        <f>A8*0.1</f>
        <v>5000000</v>
      </c>
      <c r="I8" s="76">
        <f>A8*0.025</f>
        <v>1250000</v>
      </c>
      <c r="J8" s="76">
        <f>A8*0.025</f>
        <v>1250000</v>
      </c>
      <c r="K8" s="76">
        <f>A8*0.05</f>
        <v>2500000</v>
      </c>
      <c r="L8" s="76">
        <f>A8*0.05</f>
        <v>2500000</v>
      </c>
      <c r="M8" s="76">
        <f>A8*0.2</f>
        <v>10000000</v>
      </c>
      <c r="N8" s="92">
        <f>A8*0.2</f>
        <v>10000000</v>
      </c>
      <c r="O8" s="81">
        <v>0</v>
      </c>
      <c r="P8" s="79">
        <v>0</v>
      </c>
      <c r="Q8" s="80">
        <v>0</v>
      </c>
    </row>
    <row r="9" spans="1:32" ht="15.75" thickBot="1">
      <c r="A9" s="96">
        <f>378000000</f>
        <v>378000000</v>
      </c>
      <c r="B9" s="97" t="s">
        <v>70</v>
      </c>
      <c r="C9" s="98">
        <f t="shared" si="0"/>
        <v>378000000</v>
      </c>
      <c r="D9" s="96">
        <v>0</v>
      </c>
      <c r="E9" s="99">
        <v>0</v>
      </c>
      <c r="F9" s="100">
        <v>0</v>
      </c>
      <c r="G9" s="100">
        <v>0</v>
      </c>
      <c r="H9" s="101">
        <f>A9*0.05</f>
        <v>18900000</v>
      </c>
      <c r="I9" s="96">
        <f>A9*0.08</f>
        <v>30240000</v>
      </c>
      <c r="J9" s="96">
        <f>A9*0.1</f>
        <v>37800000</v>
      </c>
      <c r="K9" s="96">
        <f>A9*0.12</f>
        <v>45360000</v>
      </c>
      <c r="L9" s="96">
        <f>A9*0.15</f>
        <v>56700000</v>
      </c>
      <c r="M9" s="96">
        <f>A9*0.2</f>
        <v>75600000</v>
      </c>
      <c r="N9" s="99">
        <f>A9*0.3</f>
        <v>113400000</v>
      </c>
      <c r="O9" s="102">
        <v>0</v>
      </c>
      <c r="P9" s="103">
        <v>0</v>
      </c>
      <c r="Q9" s="104">
        <v>0</v>
      </c>
    </row>
    <row r="10" spans="1:32" ht="15.75" thickTop="1">
      <c r="A10" s="2">
        <f>SUM(A4:A9)</f>
        <v>5779809676</v>
      </c>
      <c r="B10" s="15" t="s">
        <v>98</v>
      </c>
      <c r="C10" s="94">
        <f>SUM(C4:C9)</f>
        <v>5779809676</v>
      </c>
      <c r="D10" s="95">
        <f t="shared" ref="D10:P10" si="1">SUM(D4:D9)</f>
        <v>82625000</v>
      </c>
      <c r="E10" s="92">
        <f t="shared" si="1"/>
        <v>93475000</v>
      </c>
      <c r="F10" s="82">
        <f t="shared" si="1"/>
        <v>306300000</v>
      </c>
      <c r="G10" s="82">
        <f t="shared" si="1"/>
        <v>620100000</v>
      </c>
      <c r="H10" s="83">
        <f t="shared" si="1"/>
        <v>764909548.15999997</v>
      </c>
      <c r="I10" s="76">
        <f t="shared" si="1"/>
        <v>854179548.15999997</v>
      </c>
      <c r="J10" s="76">
        <f t="shared" si="1"/>
        <v>869039548.15999997</v>
      </c>
      <c r="K10" s="76">
        <f t="shared" si="1"/>
        <v>699199548.15999997</v>
      </c>
      <c r="L10" s="76">
        <f t="shared" si="1"/>
        <v>710539548.15999997</v>
      </c>
      <c r="M10" s="76">
        <f t="shared" si="1"/>
        <v>543689548.15999997</v>
      </c>
      <c r="N10" s="92">
        <f t="shared" si="1"/>
        <v>235752387.03999999</v>
      </c>
      <c r="O10" s="83">
        <f t="shared" si="1"/>
        <v>0</v>
      </c>
      <c r="P10" s="76">
        <f t="shared" si="1"/>
        <v>0</v>
      </c>
      <c r="Q10" s="92">
        <f>SUM(Q4:Q9)</f>
        <v>0</v>
      </c>
    </row>
    <row r="11" spans="1:32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32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32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32" s="136" customFormat="1" ht="30">
      <c r="A14" s="131"/>
      <c r="B14" s="132" t="s">
        <v>160</v>
      </c>
      <c r="C14" s="133" t="s">
        <v>98</v>
      </c>
      <c r="D14" s="240" t="s">
        <v>154</v>
      </c>
      <c r="E14" s="240"/>
      <c r="F14" s="134" t="s">
        <v>155</v>
      </c>
      <c r="G14" s="134" t="s">
        <v>156</v>
      </c>
      <c r="H14" s="251" t="s">
        <v>165</v>
      </c>
      <c r="I14" s="252"/>
      <c r="J14" s="252"/>
      <c r="K14" s="252"/>
      <c r="L14" s="252"/>
      <c r="M14" s="252"/>
      <c r="N14" s="252"/>
      <c r="O14" s="252"/>
      <c r="P14" s="253" t="s">
        <v>157</v>
      </c>
      <c r="Q14" s="254"/>
      <c r="R14" s="135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</row>
    <row r="15" spans="1:32" s="136" customFormat="1" ht="30">
      <c r="A15" s="119">
        <f>185000000+300000000+600000000</f>
        <v>1085000000</v>
      </c>
      <c r="B15" s="118" t="s">
        <v>163</v>
      </c>
      <c r="C15" s="137">
        <f>SUM(D15:Q15)</f>
        <v>1085000000</v>
      </c>
      <c r="D15" s="127">
        <f>A15*0.075</f>
        <v>81375000</v>
      </c>
      <c r="E15" s="138">
        <f>A15*0.085</f>
        <v>92225000</v>
      </c>
      <c r="F15" s="139">
        <f>A15*0.28</f>
        <v>303800000</v>
      </c>
      <c r="G15" s="139">
        <f>A15*0.56</f>
        <v>607600000</v>
      </c>
      <c r="H15" s="140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41">
        <v>0</v>
      </c>
      <c r="P15" s="142">
        <v>0</v>
      </c>
      <c r="Q15" s="143">
        <v>0</v>
      </c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</row>
    <row r="16" spans="1:32" s="136" customFormat="1" ht="30">
      <c r="A16" s="119">
        <f>206644976+344992111</f>
        <v>551637087</v>
      </c>
      <c r="B16" s="118" t="s">
        <v>168</v>
      </c>
      <c r="C16" s="137">
        <f t="shared" si="0"/>
        <v>551637087</v>
      </c>
      <c r="D16" s="127">
        <v>0</v>
      </c>
      <c r="E16" s="127">
        <v>0</v>
      </c>
      <c r="F16" s="140">
        <v>0</v>
      </c>
      <c r="G16" s="140">
        <v>0</v>
      </c>
      <c r="H16" s="140">
        <f>$A$16*0.1</f>
        <v>55163708.700000003</v>
      </c>
      <c r="I16" s="127">
        <f>$A$16*0.13</f>
        <v>71712821.310000002</v>
      </c>
      <c r="J16" s="127">
        <f>$A$16*0.13</f>
        <v>71712821.310000002</v>
      </c>
      <c r="K16" s="127">
        <f>$A$16*0.13</f>
        <v>71712821.310000002</v>
      </c>
      <c r="L16" s="127">
        <f>$A$16*0.135</f>
        <v>74471006.745000005</v>
      </c>
      <c r="M16" s="127">
        <f>$A$16*0.135</f>
        <v>74471006.745000005</v>
      </c>
      <c r="N16" s="127">
        <f>$A$16*0.13</f>
        <v>71712821.310000002</v>
      </c>
      <c r="O16" s="138">
        <f>$A$16*0.11</f>
        <v>60680079.57</v>
      </c>
      <c r="P16" s="127">
        <v>0</v>
      </c>
      <c r="Q16" s="138">
        <v>0</v>
      </c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</row>
    <row r="17" spans="1:32" s="136" customFormat="1">
      <c r="A17" s="119">
        <v>187000000</v>
      </c>
      <c r="B17" s="118" t="s">
        <v>167</v>
      </c>
      <c r="C17" s="137">
        <f t="shared" si="0"/>
        <v>187000000</v>
      </c>
      <c r="D17" s="127">
        <v>0</v>
      </c>
      <c r="E17" s="127">
        <v>0</v>
      </c>
      <c r="F17" s="140">
        <v>0</v>
      </c>
      <c r="G17" s="140">
        <v>0</v>
      </c>
      <c r="H17" s="140">
        <f>$A$17*0.05</f>
        <v>9350000</v>
      </c>
      <c r="I17" s="127">
        <f>$A$17*0.08</f>
        <v>14960000</v>
      </c>
      <c r="J17" s="127">
        <f>$A$17*0.1</f>
        <v>18700000</v>
      </c>
      <c r="K17" s="127">
        <f>$A$17*0.12</f>
        <v>22440000</v>
      </c>
      <c r="L17" s="127">
        <f>$A$17*0.15</f>
        <v>28050000</v>
      </c>
      <c r="M17" s="127">
        <f>$A$17*0.18</f>
        <v>33660000</v>
      </c>
      <c r="N17" s="127">
        <f>$A$17*0.2</f>
        <v>37400000</v>
      </c>
      <c r="O17" s="138">
        <f>$A$17*0.12</f>
        <v>22440000</v>
      </c>
      <c r="P17" s="127">
        <v>0</v>
      </c>
      <c r="Q17" s="138">
        <v>0</v>
      </c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</row>
    <row r="18" spans="1:32" s="136" customFormat="1">
      <c r="A18" s="119">
        <v>3859000000</v>
      </c>
      <c r="B18" s="118" t="s">
        <v>72</v>
      </c>
      <c r="C18" s="137">
        <f t="shared" si="0"/>
        <v>3859000000</v>
      </c>
      <c r="D18" s="127">
        <v>0</v>
      </c>
      <c r="E18" s="127">
        <v>0</v>
      </c>
      <c r="F18" s="140">
        <v>0</v>
      </c>
      <c r="G18" s="140">
        <v>0</v>
      </c>
      <c r="H18" s="140">
        <f>$A$18*0.05</f>
        <v>192950000</v>
      </c>
      <c r="I18" s="127">
        <f>$A$18*0.1</f>
        <v>385900000</v>
      </c>
      <c r="J18" s="127">
        <f>$A$18*0.2</f>
        <v>771800000</v>
      </c>
      <c r="K18" s="127">
        <f>$A$18*0.15</f>
        <v>578850000</v>
      </c>
      <c r="L18" s="127">
        <f>$A$18*0.15</f>
        <v>578850000</v>
      </c>
      <c r="M18" s="127">
        <f>$A$18*0.15</f>
        <v>578850000</v>
      </c>
      <c r="N18" s="127">
        <f>$A$18*0.15</f>
        <v>578850000</v>
      </c>
      <c r="O18" s="138">
        <f>$A$18*0.05</f>
        <v>192950000</v>
      </c>
      <c r="P18" s="127">
        <v>0</v>
      </c>
      <c r="Q18" s="138">
        <v>0</v>
      </c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</row>
    <row r="19" spans="1:32" s="136" customFormat="1">
      <c r="A19" s="127">
        <v>50000000</v>
      </c>
      <c r="B19" s="126" t="s">
        <v>103</v>
      </c>
      <c r="C19" s="137">
        <f t="shared" ref="C19" si="2">SUM(D19:Q19)</f>
        <v>50000000</v>
      </c>
      <c r="D19" s="127">
        <f>A19*0.025</f>
        <v>1250000</v>
      </c>
      <c r="E19" s="138">
        <f>A19*0.025</f>
        <v>1250000</v>
      </c>
      <c r="F19" s="139">
        <f>A19*0.05</f>
        <v>2500000</v>
      </c>
      <c r="G19" s="139">
        <f>A19*0.2</f>
        <v>10000000</v>
      </c>
      <c r="H19" s="140">
        <f>A19*0.05</f>
        <v>2500000</v>
      </c>
      <c r="I19" s="127">
        <f>A19*0.025</f>
        <v>1250000</v>
      </c>
      <c r="J19" s="127">
        <f>A19*0.025</f>
        <v>1250000</v>
      </c>
      <c r="K19" s="127">
        <f>A19*0.05</f>
        <v>2500000</v>
      </c>
      <c r="L19" s="127">
        <f>A19*0.05</f>
        <v>2500000</v>
      </c>
      <c r="M19" s="127">
        <f>A19*0.1</f>
        <v>5000000</v>
      </c>
      <c r="N19" s="127">
        <f>A19*0.15</f>
        <v>7500000</v>
      </c>
      <c r="O19" s="138">
        <f>A19*0.25</f>
        <v>12500000</v>
      </c>
      <c r="P19" s="142">
        <v>0</v>
      </c>
      <c r="Q19" s="143">
        <v>0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</row>
    <row r="20" spans="1:32" s="136" customFormat="1" ht="15.75" thickBot="1">
      <c r="A20" s="144">
        <v>486000000</v>
      </c>
      <c r="B20" s="145" t="s">
        <v>70</v>
      </c>
      <c r="C20" s="146">
        <f t="shared" si="0"/>
        <v>486000000</v>
      </c>
      <c r="D20" s="144">
        <v>0</v>
      </c>
      <c r="E20" s="144">
        <v>0</v>
      </c>
      <c r="F20" s="147">
        <v>0</v>
      </c>
      <c r="G20" s="147">
        <v>0</v>
      </c>
      <c r="H20" s="147">
        <f>$A$20*0.025</f>
        <v>12150000</v>
      </c>
      <c r="I20" s="144">
        <f>$A$20*0.025</f>
        <v>12150000</v>
      </c>
      <c r="J20" s="144">
        <f>$A$20*0.05</f>
        <v>24300000</v>
      </c>
      <c r="K20" s="144">
        <f>$A$20*0.1</f>
        <v>48600000</v>
      </c>
      <c r="L20" s="144">
        <f>$A$20*0.1</f>
        <v>48600000</v>
      </c>
      <c r="M20" s="144">
        <f>$A$20*0.15</f>
        <v>72900000</v>
      </c>
      <c r="N20" s="144">
        <f>$A$20*0.25</f>
        <v>121500000</v>
      </c>
      <c r="O20" s="148">
        <f>$A$20*0.3</f>
        <v>145800000</v>
      </c>
      <c r="P20" s="144">
        <v>0</v>
      </c>
      <c r="Q20" s="148">
        <v>0</v>
      </c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</row>
    <row r="21" spans="1:32" s="136" customFormat="1" ht="15.75" thickTop="1">
      <c r="A21" s="119">
        <f>SUM(A15:A20)</f>
        <v>6218637087</v>
      </c>
      <c r="B21" s="118" t="s">
        <v>98</v>
      </c>
      <c r="C21" s="137">
        <f>SUM(C15:C20)</f>
        <v>6218637087</v>
      </c>
      <c r="D21" s="149">
        <f t="shared" ref="D21:Q21" si="3">SUM(D15:D20)</f>
        <v>82625000</v>
      </c>
      <c r="E21" s="138">
        <f t="shared" si="3"/>
        <v>93475000</v>
      </c>
      <c r="F21" s="140">
        <f t="shared" si="3"/>
        <v>306300000</v>
      </c>
      <c r="G21" s="140">
        <f t="shared" si="3"/>
        <v>617600000</v>
      </c>
      <c r="H21" s="140">
        <f t="shared" si="3"/>
        <v>272113708.69999999</v>
      </c>
      <c r="I21" s="127">
        <f t="shared" si="3"/>
        <v>485972821.31</v>
      </c>
      <c r="J21" s="127">
        <f t="shared" si="3"/>
        <v>887762821.30999994</v>
      </c>
      <c r="K21" s="127">
        <f t="shared" si="3"/>
        <v>724102821.30999994</v>
      </c>
      <c r="L21" s="127">
        <f t="shared" si="3"/>
        <v>732471006.745</v>
      </c>
      <c r="M21" s="127">
        <f t="shared" si="3"/>
        <v>764881006.745</v>
      </c>
      <c r="N21" s="127">
        <f t="shared" si="3"/>
        <v>816962821.30999994</v>
      </c>
      <c r="O21" s="138">
        <f t="shared" si="3"/>
        <v>434370079.56999999</v>
      </c>
      <c r="P21" s="127">
        <f t="shared" si="3"/>
        <v>0</v>
      </c>
      <c r="Q21" s="138">
        <f t="shared" si="3"/>
        <v>0</v>
      </c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</row>
    <row r="22" spans="1:32"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32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32" ht="30">
      <c r="A24" s="85"/>
      <c r="B24" s="107" t="s">
        <v>161</v>
      </c>
      <c r="C24" s="93" t="s">
        <v>98</v>
      </c>
      <c r="D24" s="239" t="s">
        <v>158</v>
      </c>
      <c r="E24" s="239"/>
      <c r="F24" s="84" t="s">
        <v>156</v>
      </c>
      <c r="G24" s="241" t="s">
        <v>166</v>
      </c>
      <c r="H24" s="239"/>
      <c r="I24" s="239"/>
      <c r="J24" s="239"/>
      <c r="K24" s="239"/>
      <c r="L24" s="242"/>
      <c r="M24" s="243" t="s">
        <v>157</v>
      </c>
      <c r="N24" s="244"/>
      <c r="O24" s="244"/>
      <c r="P24" s="244"/>
      <c r="Q24" s="245"/>
    </row>
    <row r="25" spans="1:32" ht="30">
      <c r="A25" s="2">
        <f>1085000000</f>
        <v>1085000000</v>
      </c>
      <c r="B25" s="74" t="s">
        <v>163</v>
      </c>
      <c r="C25" s="94">
        <f>SUM(D25:Q25)</f>
        <v>1085000000</v>
      </c>
      <c r="D25" s="76">
        <f>A25*0.1</f>
        <v>108500000</v>
      </c>
      <c r="E25" s="92">
        <f>A25*0.3</f>
        <v>325500000</v>
      </c>
      <c r="F25" s="82">
        <f>A25*0.6</f>
        <v>651000000</v>
      </c>
      <c r="G25" s="105">
        <v>0</v>
      </c>
      <c r="H25" s="108">
        <v>0</v>
      </c>
      <c r="I25" s="108">
        <v>0</v>
      </c>
      <c r="J25" s="108">
        <v>0</v>
      </c>
      <c r="K25" s="108">
        <v>0</v>
      </c>
      <c r="L25" s="106">
        <v>0</v>
      </c>
      <c r="M25" s="105">
        <v>0</v>
      </c>
      <c r="N25" s="108">
        <v>0</v>
      </c>
      <c r="O25" s="109">
        <v>0</v>
      </c>
      <c r="P25" s="109">
        <v>0</v>
      </c>
      <c r="Q25" s="110">
        <v>0</v>
      </c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</row>
    <row r="26" spans="1:32" ht="30">
      <c r="A26" s="2">
        <f>154983732+211275960</f>
        <v>366259692</v>
      </c>
      <c r="B26" s="74" t="s">
        <v>168</v>
      </c>
      <c r="C26" s="94">
        <f t="shared" si="0"/>
        <v>366259692</v>
      </c>
      <c r="D26" s="79">
        <v>0</v>
      </c>
      <c r="E26" s="79">
        <v>0</v>
      </c>
      <c r="F26" s="81">
        <v>0</v>
      </c>
      <c r="G26" s="83">
        <f>A26*0.2</f>
        <v>73251938.400000006</v>
      </c>
      <c r="H26" s="76">
        <f>A26*0.18</f>
        <v>65926744.559999995</v>
      </c>
      <c r="I26" s="76">
        <f>A26*0.17</f>
        <v>62264147.640000008</v>
      </c>
      <c r="J26" s="76">
        <f>A26*0.175</f>
        <v>64095446.099999994</v>
      </c>
      <c r="K26" s="76">
        <f>A26*0.175</f>
        <v>64095446.099999994</v>
      </c>
      <c r="L26" s="92">
        <f>A26*0.1</f>
        <v>36625969.200000003</v>
      </c>
      <c r="M26" s="81">
        <v>0</v>
      </c>
      <c r="N26" s="79">
        <v>0</v>
      </c>
      <c r="O26" s="79">
        <v>0</v>
      </c>
      <c r="P26" s="79">
        <v>0</v>
      </c>
      <c r="Q26" s="80">
        <v>0</v>
      </c>
    </row>
    <row r="27" spans="1:32">
      <c r="A27" s="2">
        <v>74000000</v>
      </c>
      <c r="B27" s="74" t="s">
        <v>167</v>
      </c>
      <c r="C27" s="94">
        <f t="shared" si="0"/>
        <v>74000000</v>
      </c>
      <c r="D27" s="79">
        <v>0</v>
      </c>
      <c r="E27" s="79">
        <v>0</v>
      </c>
      <c r="F27" s="81">
        <v>0</v>
      </c>
      <c r="G27" s="83">
        <f>A27*0.15</f>
        <v>11100000</v>
      </c>
      <c r="H27" s="76">
        <f>A27*0.15</f>
        <v>11100000</v>
      </c>
      <c r="I27" s="76">
        <f>A27*0.175</f>
        <v>12950000</v>
      </c>
      <c r="J27" s="76">
        <f>A27*0.225</f>
        <v>16650000</v>
      </c>
      <c r="K27" s="76">
        <f>A27*0.2</f>
        <v>14800000</v>
      </c>
      <c r="L27" s="92">
        <f>A27*0.1</f>
        <v>7400000</v>
      </c>
      <c r="M27" s="81">
        <v>0</v>
      </c>
      <c r="N27" s="79">
        <v>0</v>
      </c>
      <c r="O27" s="79">
        <v>0</v>
      </c>
      <c r="P27" s="79">
        <v>0</v>
      </c>
      <c r="Q27" s="80">
        <v>0</v>
      </c>
    </row>
    <row r="28" spans="1:32">
      <c r="A28" s="2">
        <v>3481000000</v>
      </c>
      <c r="B28" s="74" t="s">
        <v>72</v>
      </c>
      <c r="C28" s="94">
        <f t="shared" si="0"/>
        <v>3481000000</v>
      </c>
      <c r="D28" s="79">
        <v>0</v>
      </c>
      <c r="E28" s="79">
        <v>0</v>
      </c>
      <c r="F28" s="81">
        <v>0</v>
      </c>
      <c r="G28" s="83">
        <f>A28*0.15</f>
        <v>522150000</v>
      </c>
      <c r="H28" s="76">
        <f>A28*0.2</f>
        <v>696200000</v>
      </c>
      <c r="I28" s="76">
        <f>A28*0.18</f>
        <v>626580000</v>
      </c>
      <c r="J28" s="76">
        <f>A28*0.17</f>
        <v>591770000</v>
      </c>
      <c r="K28" s="76">
        <f>A28*0.17</f>
        <v>591770000</v>
      </c>
      <c r="L28" s="92">
        <f>A28*0.13</f>
        <v>452530000</v>
      </c>
      <c r="M28" s="81">
        <v>0</v>
      </c>
      <c r="N28" s="79">
        <v>0</v>
      </c>
      <c r="O28" s="79">
        <v>0</v>
      </c>
      <c r="P28" s="79">
        <v>0</v>
      </c>
      <c r="Q28" s="80">
        <v>0</v>
      </c>
    </row>
    <row r="29" spans="1:32">
      <c r="A29" s="2">
        <v>50000000</v>
      </c>
      <c r="B29" s="74" t="s">
        <v>103</v>
      </c>
      <c r="C29" s="94">
        <f t="shared" ref="C29" si="4">SUM(D29:Q29)</f>
        <v>50000000</v>
      </c>
      <c r="D29" s="76">
        <f>A29*0.025</f>
        <v>1250000</v>
      </c>
      <c r="E29" s="92">
        <f>A29*0.025</f>
        <v>1250000</v>
      </c>
      <c r="F29" s="82">
        <f>A29*0.05</f>
        <v>2500000</v>
      </c>
      <c r="G29" s="83">
        <f>A29*0.25</f>
        <v>12500000</v>
      </c>
      <c r="H29" s="76">
        <f>A29*0.15</f>
        <v>7500000</v>
      </c>
      <c r="I29" s="76">
        <f>A29*0.1</f>
        <v>5000000</v>
      </c>
      <c r="J29" s="76">
        <f>A29*0.1</f>
        <v>5000000</v>
      </c>
      <c r="K29" s="76">
        <f>A29*0.1</f>
        <v>5000000</v>
      </c>
      <c r="L29" s="92">
        <f>A29*0.2</f>
        <v>10000000</v>
      </c>
      <c r="M29" s="83">
        <v>0</v>
      </c>
      <c r="N29" s="76">
        <v>0</v>
      </c>
      <c r="O29" s="79">
        <v>0</v>
      </c>
      <c r="P29" s="79">
        <v>0</v>
      </c>
      <c r="Q29" s="80">
        <v>0</v>
      </c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</row>
    <row r="30" spans="1:32" ht="15.75" thickBot="1">
      <c r="A30" s="96">
        <f>192000000</f>
        <v>192000000</v>
      </c>
      <c r="B30" s="97" t="s">
        <v>70</v>
      </c>
      <c r="C30" s="98">
        <f t="shared" si="0"/>
        <v>192000000</v>
      </c>
      <c r="D30" s="103">
        <v>0</v>
      </c>
      <c r="E30" s="103">
        <v>0</v>
      </c>
      <c r="F30" s="102">
        <v>0</v>
      </c>
      <c r="G30" s="101">
        <f>A30*0.05</f>
        <v>9600000</v>
      </c>
      <c r="H30" s="96">
        <f>A30*0.1</f>
        <v>19200000</v>
      </c>
      <c r="I30" s="96">
        <f>A30*0.15</f>
        <v>28800000</v>
      </c>
      <c r="J30" s="96">
        <f>A30*0.2</f>
        <v>38400000</v>
      </c>
      <c r="K30" s="96">
        <f>A30*0.2</f>
        <v>38400000</v>
      </c>
      <c r="L30" s="99">
        <f>A30*0.3</f>
        <v>57600000</v>
      </c>
      <c r="M30" s="102">
        <v>0</v>
      </c>
      <c r="N30" s="103">
        <v>0</v>
      </c>
      <c r="O30" s="103">
        <v>0</v>
      </c>
      <c r="P30" s="103">
        <v>0</v>
      </c>
      <c r="Q30" s="104">
        <v>0</v>
      </c>
    </row>
    <row r="31" spans="1:32" ht="15.75" thickTop="1">
      <c r="A31" s="2">
        <f>SUM(A25:A30)</f>
        <v>5248259692</v>
      </c>
      <c r="B31" s="15" t="s">
        <v>98</v>
      </c>
      <c r="C31" s="94">
        <f>SUM(C25:C30)</f>
        <v>5248259692</v>
      </c>
      <c r="D31" s="95">
        <f t="shared" ref="D31:Q31" si="5">SUM(D25:D30)</f>
        <v>109750000</v>
      </c>
      <c r="E31" s="92">
        <f t="shared" si="5"/>
        <v>326750000</v>
      </c>
      <c r="F31" s="83">
        <f t="shared" si="5"/>
        <v>653500000</v>
      </c>
      <c r="G31" s="83">
        <f t="shared" si="5"/>
        <v>628601938.39999998</v>
      </c>
      <c r="H31" s="76">
        <f t="shared" si="5"/>
        <v>799926744.55999994</v>
      </c>
      <c r="I31" s="76">
        <f t="shared" si="5"/>
        <v>735594147.63999999</v>
      </c>
      <c r="J31" s="76">
        <f t="shared" si="5"/>
        <v>715915446.10000002</v>
      </c>
      <c r="K31" s="76">
        <f t="shared" si="5"/>
        <v>714065446.10000002</v>
      </c>
      <c r="L31" s="92">
        <f t="shared" si="5"/>
        <v>564155969.20000005</v>
      </c>
      <c r="M31" s="76">
        <f t="shared" si="5"/>
        <v>0</v>
      </c>
      <c r="N31" s="76">
        <f t="shared" si="5"/>
        <v>0</v>
      </c>
      <c r="O31" s="76">
        <f t="shared" si="5"/>
        <v>0</v>
      </c>
      <c r="P31" s="76">
        <f t="shared" si="5"/>
        <v>0</v>
      </c>
      <c r="Q31" s="92">
        <f t="shared" si="5"/>
        <v>0</v>
      </c>
      <c r="R31" s="50"/>
    </row>
    <row r="32" spans="1:32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3:17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3:17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3:17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3:17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3:17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3:17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3:17"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3:17"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3:17"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3:17"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3:17"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3:17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3:17"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spans="3:17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3:17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3:17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spans="3:17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3:17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3:17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3:17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3:17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</sheetData>
  <mergeCells count="9">
    <mergeCell ref="D24:E24"/>
    <mergeCell ref="D14:E14"/>
    <mergeCell ref="G24:L24"/>
    <mergeCell ref="M24:Q24"/>
    <mergeCell ref="D3:E3"/>
    <mergeCell ref="H3:N3"/>
    <mergeCell ref="O3:Q3"/>
    <mergeCell ref="H14:O14"/>
    <mergeCell ref="P14:Q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3</vt:i4>
      </vt:variant>
    </vt:vector>
  </HeadingPairs>
  <TitlesOfParts>
    <vt:vector size="30" baseType="lpstr">
      <vt:lpstr>Not used</vt:lpstr>
      <vt:lpstr>Graphs</vt:lpstr>
      <vt:lpstr>ProForma View 80CL</vt:lpstr>
      <vt:lpstr>Pro Forma Worst Case</vt:lpstr>
      <vt:lpstr>Pro Forma Best Case</vt:lpstr>
      <vt:lpstr>Price of Water</vt:lpstr>
      <vt:lpstr>Cost Offsets</vt:lpstr>
      <vt:lpstr>Fallowing</vt:lpstr>
      <vt:lpstr>Construction Costs</vt:lpstr>
      <vt:lpstr>Cost Schedule</vt:lpstr>
      <vt:lpstr>LineOfCredit</vt:lpstr>
      <vt:lpstr>CPI</vt:lpstr>
      <vt:lpstr>Construction Bonds</vt:lpstr>
      <vt:lpstr>Prop 1 Funding</vt:lpstr>
      <vt:lpstr>USDA Low Interest Loan</vt:lpstr>
      <vt:lpstr>WIIN Act Funding</vt:lpstr>
      <vt:lpstr>Risk Assessment Cost Estimate</vt:lpstr>
      <vt:lpstr>Transmission Cost Estimate</vt:lpstr>
      <vt:lpstr>WaterQualMitigationMonitoring</vt:lpstr>
      <vt:lpstr>O&amp;M Cost Estimate</vt:lpstr>
      <vt:lpstr>Delivery Costs</vt:lpstr>
      <vt:lpstr>Montague Model</vt:lpstr>
      <vt:lpstr>CDFW Negotiation Affordability</vt:lpstr>
      <vt:lpstr>Ph1 to 2019 Credit</vt:lpstr>
      <vt:lpstr>Studies</vt:lpstr>
      <vt:lpstr>Mega Project Factors</vt:lpstr>
      <vt:lpstr>Diversion-Bypass Flows</vt:lpstr>
      <vt:lpstr>'CDFW Negotiation Affordability'!Print_Area</vt:lpstr>
      <vt:lpstr>'Cost Schedule'!Print_Area</vt:lpstr>
      <vt:lpstr>'Not used'!Print_Area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2022-01-27T17:49:07Z</dcterms:modified>
</cp:coreProperties>
</file>